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9020" windowHeight="11880"/>
  </bookViews>
  <sheets>
    <sheet name="Recommendation" sheetId="9" r:id="rId1"/>
    <sheet name="Debt Main" sheetId="1" r:id="rId2"/>
    <sheet name="2010 GO Summary" sheetId="2" r:id="rId3"/>
    <sheet name="Alaska Psychiatric" sheetId="3" r:id="rId4"/>
    <sheet name="Seafood" sheetId="6" r:id="rId5"/>
    <sheet name="Refunding" sheetId="5" r:id="rId6"/>
    <sheet name="State Virology Lab" sheetId="4" r:id="rId7"/>
    <sheet name="Goose Creek" sheetId="7" r:id="rId8"/>
    <sheet name="Anchorage Jail" sheetId="8" r:id="rId9"/>
    <sheet name="PV Goose Creek" sheetId="10" r:id="rId10"/>
    <sheet name="PV Anchorage Jail" sheetId="11" r:id="rId11"/>
    <sheet name="PV COPS" sheetId="12" r:id="rId12"/>
    <sheet name="PV GO Prepay" sheetId="13" r:id="rId13"/>
  </sheets>
  <definedNames>
    <definedName name="_xlnm.Print_Area" localSheetId="0">Recommendation!$A$1:$I$105</definedName>
  </definedNames>
  <calcPr calcId="144525"/>
</workbook>
</file>

<file path=xl/calcChain.xml><?xml version="1.0" encoding="utf-8"?>
<calcChain xmlns="http://schemas.openxmlformats.org/spreadsheetml/2006/main">
  <c r="F105" i="9" l="1"/>
  <c r="F91" i="9"/>
  <c r="H94" i="9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93" i="9"/>
  <c r="K64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G79" i="9"/>
  <c r="F79" i="9"/>
  <c r="E79" i="9"/>
  <c r="D79" i="9"/>
  <c r="H66" i="9" l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F55" i="9"/>
  <c r="G41" i="9"/>
  <c r="B30" i="13"/>
  <c r="B32" i="13" s="1"/>
  <c r="G55" i="9" s="1"/>
  <c r="B4" i="13"/>
  <c r="B18" i="12"/>
  <c r="B20" i="12" s="1"/>
  <c r="B4" i="12"/>
  <c r="B17" i="11"/>
  <c r="B20" i="11" s="1"/>
  <c r="G28" i="9" s="1"/>
  <c r="B4" i="11"/>
  <c r="B31" i="10"/>
  <c r="G4" i="9" s="1"/>
  <c r="B29" i="10"/>
  <c r="B4" i="10"/>
  <c r="I50" i="9"/>
  <c r="I47" i="9"/>
  <c r="I45" i="9"/>
  <c r="I46" i="9"/>
  <c r="I48" i="9"/>
  <c r="I49" i="9"/>
  <c r="I51" i="9"/>
  <c r="I52" i="9"/>
  <c r="K12" i="3"/>
  <c r="B13" i="3"/>
  <c r="H11" i="3" s="1"/>
  <c r="K8" i="3"/>
  <c r="I42" i="9" s="1"/>
  <c r="B17" i="6"/>
  <c r="H11" i="6" s="1"/>
  <c r="K9" i="6"/>
  <c r="I43" i="9" s="1"/>
  <c r="K8" i="6"/>
  <c r="K16" i="6" s="1"/>
  <c r="C18" i="6"/>
  <c r="C17" i="6"/>
  <c r="H19" i="4"/>
  <c r="K13" i="4"/>
  <c r="K12" i="4"/>
  <c r="I44" i="9" s="1"/>
  <c r="K11" i="4"/>
  <c r="K10" i="4"/>
  <c r="K20" i="4" s="1"/>
  <c r="C23" i="4"/>
  <c r="C22" i="4"/>
  <c r="C21" i="4"/>
  <c r="C20" i="4"/>
  <c r="B20" i="4"/>
  <c r="H13" i="4" s="1"/>
  <c r="H20" i="4" s="1"/>
  <c r="I30" i="9"/>
  <c r="I33" i="9"/>
  <c r="I34" i="9"/>
  <c r="I35" i="9"/>
  <c r="I36" i="9"/>
  <c r="I37" i="9"/>
  <c r="I29" i="9"/>
  <c r="I6" i="9"/>
  <c r="I10" i="9"/>
  <c r="I14" i="9"/>
  <c r="I15" i="9"/>
  <c r="I16" i="9"/>
  <c r="I17" i="9"/>
  <c r="I18" i="9"/>
  <c r="I19" i="9"/>
  <c r="I20" i="9"/>
  <c r="I21" i="9"/>
  <c r="I22" i="9"/>
  <c r="I23" i="9"/>
  <c r="I24" i="9"/>
  <c r="I5" i="9"/>
  <c r="H15" i="9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L14" i="8"/>
  <c r="I32" i="9" s="1"/>
  <c r="L13" i="8"/>
  <c r="I31" i="9" s="1"/>
  <c r="L12" i="8"/>
  <c r="L11" i="8"/>
  <c r="C25" i="8"/>
  <c r="L31" i="7"/>
  <c r="I25" i="9" s="1"/>
  <c r="L19" i="7"/>
  <c r="I13" i="9" s="1"/>
  <c r="L18" i="7"/>
  <c r="I12" i="9" s="1"/>
  <c r="L17" i="7"/>
  <c r="I11" i="9" s="1"/>
  <c r="L16" i="7"/>
  <c r="L15" i="7"/>
  <c r="I9" i="9" s="1"/>
  <c r="L14" i="7"/>
  <c r="I8" i="9" s="1"/>
  <c r="L13" i="7"/>
  <c r="L32" i="7" s="1"/>
  <c r="L12" i="7"/>
  <c r="L11" i="7"/>
  <c r="B34" i="7"/>
  <c r="C42" i="7"/>
  <c r="C41" i="7"/>
  <c r="E41" i="7" s="1"/>
  <c r="K21" i="7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I14" i="7"/>
  <c r="I20" i="7" s="1"/>
  <c r="E15" i="1"/>
  <c r="H15" i="1"/>
  <c r="D15" i="1"/>
  <c r="C29" i="1"/>
  <c r="B20" i="8"/>
  <c r="B17" i="8"/>
  <c r="B22" i="8" s="1"/>
  <c r="B15" i="8"/>
  <c r="C24" i="8" s="1"/>
  <c r="B11" i="8"/>
  <c r="B24" i="8" s="1"/>
  <c r="D27" i="1" s="1"/>
  <c r="D29" i="1" s="1"/>
  <c r="H35" i="1"/>
  <c r="I22" i="1"/>
  <c r="A23" i="7"/>
  <c r="A22" i="7"/>
  <c r="B19" i="7"/>
  <c r="B18" i="7"/>
  <c r="C40" i="7" s="1"/>
  <c r="E40" i="7" s="1"/>
  <c r="B17" i="7"/>
  <c r="C39" i="7" s="1"/>
  <c r="E39" i="7" s="1"/>
  <c r="B16" i="7"/>
  <c r="C38" i="7" s="1"/>
  <c r="E38" i="7" s="1"/>
  <c r="B15" i="7"/>
  <c r="B14" i="7"/>
  <c r="C36" i="7" s="1"/>
  <c r="E36" i="7" s="1"/>
  <c r="B13" i="7"/>
  <c r="C35" i="7" s="1"/>
  <c r="E35" i="7" s="1"/>
  <c r="B12" i="7"/>
  <c r="C34" i="7" s="1"/>
  <c r="E34" i="7" s="1"/>
  <c r="B11" i="7"/>
  <c r="B36" i="7" s="1"/>
  <c r="H21" i="1"/>
  <c r="H19" i="1"/>
  <c r="F9" i="5"/>
  <c r="F12" i="5" s="1"/>
  <c r="F8" i="5"/>
  <c r="E9" i="5"/>
  <c r="E8" i="5"/>
  <c r="E12" i="5" s="1"/>
  <c r="I23" i="7" l="1"/>
  <c r="E4" i="9" s="1"/>
  <c r="H18" i="3"/>
  <c r="D41" i="9"/>
  <c r="C37" i="7"/>
  <c r="E37" i="7" s="1"/>
  <c r="I15" i="7"/>
  <c r="I16" i="7" s="1"/>
  <c r="D4" i="9" s="1"/>
  <c r="C23" i="8"/>
  <c r="H14" i="4"/>
  <c r="K13" i="3"/>
  <c r="I7" i="9"/>
  <c r="C22" i="8"/>
  <c r="H18" i="1"/>
  <c r="H17" i="3"/>
  <c r="H20" i="3" s="1"/>
  <c r="E41" i="9" s="1"/>
  <c r="F41" i="9" s="1"/>
  <c r="H12" i="3"/>
  <c r="H13" i="3" s="1"/>
  <c r="H12" i="6"/>
  <c r="H13" i="6" s="1"/>
  <c r="H18" i="6"/>
  <c r="H20" i="6" s="1"/>
  <c r="H21" i="6" s="1"/>
  <c r="H22" i="1"/>
  <c r="H38" i="1" s="1"/>
  <c r="H15" i="4"/>
  <c r="H22" i="4"/>
  <c r="I14" i="8"/>
  <c r="I20" i="8" s="1"/>
  <c r="H27" i="1"/>
  <c r="L20" i="8"/>
  <c r="I21" i="7"/>
  <c r="A24" i="7"/>
  <c r="A25" i="7" s="1"/>
  <c r="A26" i="7" s="1"/>
  <c r="A27" i="7" s="1"/>
  <c r="A28" i="7" s="1"/>
  <c r="A29" i="7" s="1"/>
  <c r="A30" i="7" s="1"/>
  <c r="A31" i="7" s="1"/>
  <c r="A32" i="7" s="1"/>
  <c r="G39" i="1"/>
  <c r="G38" i="1"/>
  <c r="E35" i="1"/>
  <c r="G35" i="1" s="1"/>
  <c r="D22" i="1"/>
  <c r="C22" i="1"/>
  <c r="F12" i="1"/>
  <c r="F9" i="1"/>
  <c r="F13" i="1"/>
  <c r="H25" i="1"/>
  <c r="F4" i="9" l="1"/>
  <c r="F15" i="1"/>
  <c r="I24" i="7"/>
  <c r="H29" i="1"/>
  <c r="H21" i="3"/>
  <c r="H23" i="4"/>
  <c r="I21" i="8"/>
  <c r="I15" i="8"/>
  <c r="I16" i="8" s="1"/>
  <c r="D28" i="9" s="1"/>
  <c r="I23" i="8"/>
  <c r="E28" i="9" s="1"/>
  <c r="F28" i="9" l="1"/>
  <c r="I24" i="8"/>
</calcChain>
</file>

<file path=xl/comments1.xml><?xml version="1.0" encoding="utf-8"?>
<comments xmlns="http://schemas.openxmlformats.org/spreadsheetml/2006/main">
  <authors>
    <author>rswilliams</author>
  </authors>
  <commentList>
    <comment ref="F35" authorId="0">
      <text>
        <r>
          <rPr>
            <b/>
            <sz val="8"/>
            <color indexed="81"/>
            <rFont val="Tahoma"/>
            <family val="2"/>
          </rPr>
          <t>rswilliams:</t>
        </r>
        <r>
          <rPr>
            <sz val="8"/>
            <color indexed="81"/>
            <rFont val="Tahoma"/>
            <family val="2"/>
          </rPr>
          <t xml:space="preserve">
this is an estimate
</t>
        </r>
      </text>
    </comment>
  </commentList>
</comments>
</file>

<file path=xl/sharedStrings.xml><?xml version="1.0" encoding="utf-8"?>
<sst xmlns="http://schemas.openxmlformats.org/spreadsheetml/2006/main" count="354" uniqueCount="181">
  <si>
    <t>State of Alaska Debt Service</t>
  </si>
  <si>
    <t>Authorized $(millions)</t>
  </si>
  <si>
    <t>Issued $(millions)</t>
  </si>
  <si>
    <t>Outstanding @6/30/2010</t>
  </si>
  <si>
    <t>UNISSUED AUTHORIZED $(millions)</t>
  </si>
  <si>
    <t>GO Bonds:</t>
  </si>
  <si>
    <t>Purpose</t>
  </si>
  <si>
    <t>Transportation</t>
  </si>
  <si>
    <t>Certificates of Participation (COP's):</t>
  </si>
  <si>
    <t>Description</t>
  </si>
  <si>
    <t>Date Issued</t>
  </si>
  <si>
    <t>Final Maturity</t>
  </si>
  <si>
    <t>Alaska Psychiatric Institute</t>
  </si>
  <si>
    <t>Seafood and Food Safety Lab</t>
  </si>
  <si>
    <t>State Virology Lab Facility 2005 B</t>
  </si>
  <si>
    <t>Amount Issued $(thousands)</t>
  </si>
  <si>
    <t>Total COP's:</t>
  </si>
  <si>
    <t>Amount Outstanding at Call date $(millions)</t>
  </si>
  <si>
    <t>Approximate NPV Savings if Refunded $(millions)</t>
  </si>
  <si>
    <t>6.5 @ 3.39%</t>
  </si>
  <si>
    <t>Goose Creek Correctional Facility</t>
  </si>
  <si>
    <t>State (and State Supported) Debt</t>
  </si>
  <si>
    <t>State Debt</t>
  </si>
  <si>
    <t>Principal Outstanding</t>
  </si>
  <si>
    <t>Interest to Maturity</t>
  </si>
  <si>
    <t>Total Debt Service to Maturity</t>
  </si>
  <si>
    <t>SOA GO Bonds</t>
  </si>
  <si>
    <t>State Supported Debt</t>
  </si>
  <si>
    <t>Lease-Purchase Financings (COP's)</t>
  </si>
  <si>
    <t xml:space="preserve">Capital Leases </t>
  </si>
  <si>
    <t>Debt by Type $(mm):</t>
  </si>
  <si>
    <t>Series 2003A</t>
  </si>
  <si>
    <t>State Library, Education, and Educational Research Projects</t>
  </si>
  <si>
    <t>State of Alaska General Obligation Bonds</t>
  </si>
  <si>
    <t>consisting of:</t>
  </si>
  <si>
    <t>General Obligation Bonds, Series 2010A</t>
  </si>
  <si>
    <t>(Taxable Build America Bonds - Direct Payment)</t>
  </si>
  <si>
    <t>Dated: Date of Delivery</t>
  </si>
  <si>
    <t>Due: August 1, as shown below</t>
  </si>
  <si>
    <t>MATURITY</t>
  </si>
  <si>
    <t xml:space="preserve">PRINCIPAL AMOUNT </t>
  </si>
  <si>
    <t>INTEREST RATE</t>
  </si>
  <si>
    <t>YIELD</t>
  </si>
  <si>
    <t>PRICE</t>
  </si>
  <si>
    <t>General Obligation Bonds, Series 2010B</t>
  </si>
  <si>
    <t>Date of Official Statement: December 7, 2010</t>
  </si>
  <si>
    <t>(Taxable Qualified School Construction Bonds - Direct Payment)</t>
  </si>
  <si>
    <t>**TERM BOND</t>
  </si>
  <si>
    <r>
      <t>2033</t>
    </r>
    <r>
      <rPr>
        <b/>
        <sz val="11"/>
        <color theme="1"/>
        <rFont val="Calibri"/>
        <family val="2"/>
        <scheme val="minor"/>
      </rPr>
      <t>**</t>
    </r>
  </si>
  <si>
    <t>General Obligation Bonds, Series 2010C</t>
  </si>
  <si>
    <t>TERMS/PRINCIPAL</t>
  </si>
  <si>
    <t>Alaska Psychiatric Institute, SERIES 2002</t>
  </si>
  <si>
    <t>Ground Lease &amp; Facility Lease and Trust</t>
  </si>
  <si>
    <t xml:space="preserve">Interest Payable Semi-Annually on Jan. and July 15 each year </t>
  </si>
  <si>
    <t>Maturity Years</t>
  </si>
  <si>
    <t>Principal Amounts</t>
  </si>
  <si>
    <t xml:space="preserve">Interest Rates </t>
  </si>
  <si>
    <t xml:space="preserve">State of Alaska </t>
  </si>
  <si>
    <t>State Virology Laboratory Facility</t>
  </si>
  <si>
    <t>Certificates of Participation</t>
  </si>
  <si>
    <t>SERIES 2005B</t>
  </si>
  <si>
    <t>Due: February 1, as shown below</t>
  </si>
  <si>
    <t>DUE</t>
  </si>
  <si>
    <t>PRINCIPAL AMOUNT</t>
  </si>
  <si>
    <t>See State Virology Tab</t>
  </si>
  <si>
    <t>Refunding Certificates of Participation</t>
  </si>
  <si>
    <t>SERIES 2005A</t>
  </si>
  <si>
    <t>Due: February 15, as shown below</t>
  </si>
  <si>
    <t>See Refunding Tab</t>
  </si>
  <si>
    <t>See Seafood Tab</t>
  </si>
  <si>
    <t>CERTIFICATES OF PARTICIPATION</t>
  </si>
  <si>
    <t>Seafood and Food Safety Laboratory Facility</t>
  </si>
  <si>
    <t>See Alaska Psychiatric Tab Below for the Official Statement</t>
  </si>
  <si>
    <t>Weighted average over remaining life of COP</t>
  </si>
  <si>
    <t>Call Date</t>
  </si>
  <si>
    <t>Callable Par</t>
  </si>
  <si>
    <t>callable Par</t>
  </si>
  <si>
    <t>callable par</t>
  </si>
  <si>
    <t>NONE</t>
  </si>
  <si>
    <t>Tranportation &amp; Education</t>
  </si>
  <si>
    <t>* Significant penalty to defeasing 2010A and B bonds as you lose federal subsidy on debt service</t>
  </si>
  <si>
    <t>** there is no financial reason to call these as the State is effectively paying .0001% interest rate after federal subsidy</t>
  </si>
  <si>
    <t>** These are non-callable</t>
  </si>
  <si>
    <t>** if you advance refund or defease these bonds you lose the federal subsidy of 35% of interest expense</t>
  </si>
  <si>
    <t>Effective Interest Rate after federal subsidies for 2010 Series</t>
  </si>
  <si>
    <t>2010 A - 3.71%     2010 B - .04%        2010 C - .68%</t>
  </si>
  <si>
    <t>Name/Date of Bonds</t>
  </si>
  <si>
    <t>Series 2003A- 4/1/2003</t>
  </si>
  <si>
    <t>Series 2003B - 4/1/2003</t>
  </si>
  <si>
    <t>2009 A - 4/14/2009</t>
  </si>
  <si>
    <t>2010 A, B, C - 11/2/2010</t>
  </si>
  <si>
    <t>Series A &amp; B have make whole calls and Series C is non-callable</t>
  </si>
  <si>
    <t>N/A</t>
  </si>
  <si>
    <t>It will never save money to refund these bonds</t>
  </si>
  <si>
    <t>Call date</t>
  </si>
  <si>
    <t>none at this time</t>
  </si>
  <si>
    <t xml:space="preserve">  (debt service paid from Federal Highway Administration receipts)</t>
  </si>
  <si>
    <t>None</t>
  </si>
  <si>
    <t>Matanuska Susitna Borough</t>
  </si>
  <si>
    <t>Lease Revenue Bonds - Pledge State's Subject to Appropriation Pledge</t>
  </si>
  <si>
    <t>Series 2008</t>
  </si>
  <si>
    <t>Due: September 1, as shown below</t>
  </si>
  <si>
    <t>5/3.5%</t>
  </si>
  <si>
    <t>5/4.25%</t>
  </si>
  <si>
    <t>5.25/4.5%</t>
  </si>
  <si>
    <t>5.5/5%</t>
  </si>
  <si>
    <t>*2011</t>
  </si>
  <si>
    <t>*2012</t>
  </si>
  <si>
    <t>*2013</t>
  </si>
  <si>
    <t>*2014</t>
  </si>
  <si>
    <t>*2015</t>
  </si>
  <si>
    <t>*2016</t>
  </si>
  <si>
    <t>*2017</t>
  </si>
  <si>
    <t>*2018</t>
  </si>
  <si>
    <t>* Bi-forcated maturities</t>
  </si>
  <si>
    <t>Callable 9/1/2020</t>
  </si>
  <si>
    <t>** Term bond (with mandatory sinking fund)</t>
  </si>
  <si>
    <t>Sinking Fund Pyaments</t>
  </si>
  <si>
    <t>Callable Principal</t>
  </si>
  <si>
    <t>See Goose Creek Tab</t>
  </si>
  <si>
    <t>outstanding 6/2011</t>
  </si>
  <si>
    <t>Negative at this time</t>
  </si>
  <si>
    <t>Callable bonds</t>
  </si>
  <si>
    <t>Anchorage Jail</t>
  </si>
  <si>
    <t>Municipality of Anchorage</t>
  </si>
  <si>
    <t>Series 2005 Refunding Bonds</t>
  </si>
  <si>
    <t>Callable 2/1/2015</t>
  </si>
  <si>
    <t>*2020</t>
  </si>
  <si>
    <t>Coupon Rate</t>
  </si>
  <si>
    <t>4.0/5.0%</t>
  </si>
  <si>
    <t>4.25/5%</t>
  </si>
  <si>
    <t>Anchorage Jail Refunding</t>
  </si>
  <si>
    <t>See Anchorage Jail Tab</t>
  </si>
  <si>
    <t>Zero at this time</t>
  </si>
  <si>
    <r>
      <t xml:space="preserve">Capital Leases: </t>
    </r>
    <r>
      <rPr>
        <b/>
        <sz val="12"/>
        <color theme="1"/>
        <rFont val="Calibri"/>
        <family val="2"/>
        <scheme val="minor"/>
      </rPr>
      <t>(other than Atwood Building &amp; Linny Parking)</t>
    </r>
  </si>
  <si>
    <t>Total</t>
  </si>
  <si>
    <t>Refunding 2005 A</t>
  </si>
  <si>
    <t>Escrow Requirements</t>
  </si>
  <si>
    <t>callable bonds</t>
  </si>
  <si>
    <t>escrow earnings</t>
  </si>
  <si>
    <t>escrow Deposit</t>
  </si>
  <si>
    <t>Fundamental refunding Analysis</t>
  </si>
  <si>
    <t>Savings</t>
  </si>
  <si>
    <t>Interest Expense to call date</t>
  </si>
  <si>
    <t xml:space="preserve">Called Principal </t>
  </si>
  <si>
    <t>Interest Expense after Call</t>
  </si>
  <si>
    <t>Total Savings</t>
  </si>
  <si>
    <t>Net Savings</t>
  </si>
  <si>
    <t>Savings by year</t>
  </si>
  <si>
    <t>Issue Name</t>
  </si>
  <si>
    <t>Action</t>
  </si>
  <si>
    <t>Cost</t>
  </si>
  <si>
    <t>Fiscal Year</t>
  </si>
  <si>
    <t>Rank</t>
  </si>
  <si>
    <t>Mat-Su Lease Revene Bonds</t>
  </si>
  <si>
    <t>Defease Callable Bonds</t>
  </si>
  <si>
    <t>COPs</t>
  </si>
  <si>
    <t xml:space="preserve">2016 and out callable in 2015  </t>
  </si>
  <si>
    <t>2014 out callable on 2013</t>
  </si>
  <si>
    <t>2013 and later callable in 2012</t>
  </si>
  <si>
    <t>PV Rate</t>
  </si>
  <si>
    <t>Fiscal year starting</t>
  </si>
  <si>
    <t>Cashflow savings due to defease of Goose Creek</t>
  </si>
  <si>
    <t>Present Value as of Today</t>
  </si>
  <si>
    <t>Net PV Benefit</t>
  </si>
  <si>
    <t>cost</t>
  </si>
  <si>
    <t>Cashflow savings due to defease of Anchorage Jail</t>
  </si>
  <si>
    <t>total savings</t>
  </si>
  <si>
    <t>Cashflow savings due to defease of COPs</t>
  </si>
  <si>
    <t>Cashflow savings due to no $150,050,000  GO issue</t>
  </si>
  <si>
    <t>PV Savings</t>
  </si>
  <si>
    <t xml:space="preserve">GO Bonds </t>
  </si>
  <si>
    <t>Prepay</t>
  </si>
  <si>
    <t xml:space="preserve">GOOSE CREEK </t>
  </si>
  <si>
    <t>ANCHORAGE JAIL</t>
  </si>
  <si>
    <t>STATE COP's</t>
  </si>
  <si>
    <t>CASH FOR 2008 GO BONDS</t>
  </si>
  <si>
    <t>TOTALS</t>
  </si>
  <si>
    <t>AVERAGE FY2012-FY2034</t>
  </si>
  <si>
    <t>AVERAGE FY2015-FY2020</t>
  </si>
  <si>
    <t>TOTAL SAVINGS BY YEAR (with avergages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</si>
</sst>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#,##0.000"/>
    <numFmt numFmtId="169" formatCode="0.0%"/>
    <numFmt numFmtId="170" formatCode="0.000%"/>
    <numFmt numFmtId="171" formatCode="_(* #,##0.000000_);_(* \(#,##0.000000\);_(* &quot;-&quot;??_);_(@_)"/>
    <numFmt numFmtId="172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0" fontId="0" fillId="0" borderId="0" xfId="0" applyNumberFormat="1"/>
    <xf numFmtId="43" fontId="0" fillId="0" borderId="0" xfId="1" applyFont="1"/>
    <xf numFmtId="165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167" fontId="0" fillId="0" borderId="0" xfId="1" applyNumberFormat="1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167" fontId="0" fillId="0" borderId="2" xfId="1" applyNumberFormat="1" applyFont="1" applyBorder="1"/>
    <xf numFmtId="0" fontId="4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8" fontId="0" fillId="0" borderId="0" xfId="0" applyNumberFormat="1" applyAlignment="1">
      <alignment horizontal="right"/>
    </xf>
    <xf numFmtId="165" fontId="0" fillId="0" borderId="0" xfId="1" applyNumberFormat="1" applyFont="1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9" fontId="0" fillId="0" borderId="0" xfId="2" applyNumberFormat="1" applyFont="1"/>
    <xf numFmtId="170" fontId="0" fillId="0" borderId="0" xfId="2" applyNumberFormat="1" applyFont="1"/>
    <xf numFmtId="6" fontId="2" fillId="0" borderId="0" xfId="0" applyNumberFormat="1" applyFont="1" applyAlignment="1">
      <alignment horizontal="left"/>
    </xf>
    <xf numFmtId="43" fontId="2" fillId="0" borderId="0" xfId="1" applyFont="1" applyAlignment="1">
      <alignment wrapText="1"/>
    </xf>
    <xf numFmtId="43" fontId="2" fillId="0" borderId="0" xfId="1" applyFont="1"/>
    <xf numFmtId="167" fontId="0" fillId="0" borderId="0" xfId="0" applyNumberFormat="1"/>
    <xf numFmtId="171" fontId="0" fillId="0" borderId="0" xfId="0" applyNumberFormat="1"/>
    <xf numFmtId="43" fontId="0" fillId="3" borderId="0" xfId="0" applyNumberFormat="1" applyFill="1"/>
    <xf numFmtId="10" fontId="0" fillId="3" borderId="0" xfId="2" applyNumberFormat="1" applyFont="1" applyFill="1"/>
    <xf numFmtId="3" fontId="0" fillId="0" borderId="0" xfId="0" applyNumberFormat="1"/>
    <xf numFmtId="0" fontId="0" fillId="0" borderId="0" xfId="0" applyAlignment="1">
      <alignment horizontal="center" wrapText="1"/>
    </xf>
    <xf numFmtId="3" fontId="0" fillId="2" borderId="0" xfId="0" applyNumberFormat="1" applyFill="1"/>
    <xf numFmtId="10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17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2" applyNumberFormat="1" applyFont="1" applyAlignment="1">
      <alignment horizontal="right"/>
    </xf>
    <xf numFmtId="3" fontId="0" fillId="0" borderId="0" xfId="1" applyNumberFormat="1" applyFont="1"/>
    <xf numFmtId="172" fontId="0" fillId="0" borderId="0" xfId="0" applyNumberFormat="1"/>
    <xf numFmtId="165" fontId="0" fillId="2" borderId="0" xfId="0" applyNumberFormat="1" applyFill="1"/>
    <xf numFmtId="165" fontId="2" fillId="0" borderId="0" xfId="0" applyNumberFormat="1" applyFont="1" applyFill="1"/>
    <xf numFmtId="0" fontId="0" fillId="3" borderId="0" xfId="0" applyFill="1"/>
    <xf numFmtId="167" fontId="0" fillId="3" borderId="0" xfId="0" applyNumberFormat="1" applyFill="1"/>
    <xf numFmtId="3" fontId="0" fillId="3" borderId="0" xfId="0" applyNumberFormat="1" applyFill="1"/>
    <xf numFmtId="0" fontId="7" fillId="3" borderId="0" xfId="0" applyFont="1" applyFill="1"/>
    <xf numFmtId="3" fontId="8" fillId="3" borderId="0" xfId="0" applyNumberFormat="1" applyFont="1" applyFill="1"/>
    <xf numFmtId="0" fontId="0" fillId="0" borderId="3" xfId="0" applyBorder="1"/>
    <xf numFmtId="3" fontId="0" fillId="0" borderId="3" xfId="0" applyNumberFormat="1" applyBorder="1"/>
    <xf numFmtId="3" fontId="0" fillId="4" borderId="0" xfId="0" applyNumberFormat="1" applyFill="1"/>
    <xf numFmtId="0" fontId="0" fillId="0" borderId="3" xfId="0" applyBorder="1" applyAlignment="1">
      <alignment horizontal="center"/>
    </xf>
    <xf numFmtId="3" fontId="0" fillId="5" borderId="0" xfId="0" applyNumberFormat="1" applyFill="1"/>
    <xf numFmtId="43" fontId="9" fillId="0" borderId="0" xfId="1" applyFont="1"/>
    <xf numFmtId="9" fontId="0" fillId="0" borderId="0" xfId="0" applyNumberFormat="1"/>
    <xf numFmtId="43" fontId="0" fillId="0" borderId="0" xfId="1" applyFont="1" applyAlignment="1">
      <alignment wrapText="1"/>
    </xf>
    <xf numFmtId="8" fontId="9" fillId="0" borderId="0" xfId="1" applyNumberFormat="1" applyFont="1"/>
    <xf numFmtId="3" fontId="0" fillId="6" borderId="0" xfId="0" applyNumberFormat="1" applyFill="1"/>
    <xf numFmtId="0" fontId="0" fillId="0" borderId="3" xfId="0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3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</xdr:rowOff>
    </xdr:from>
    <xdr:to>
      <xdr:col>1</xdr:col>
      <xdr:colOff>19050</xdr:colOff>
      <xdr:row>4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"/>
          <a:ext cx="1095375" cy="8762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view="pageBreakPreview" topLeftCell="A26" zoomScaleNormal="100" zoomScaleSheetLayoutView="100" workbookViewId="0">
      <selection activeCell="N92" sqref="N92"/>
    </sheetView>
  </sheetViews>
  <sheetFormatPr defaultRowHeight="15" x14ac:dyDescent="0.25"/>
  <cols>
    <col min="1" max="1" width="6" style="1" customWidth="1"/>
    <col min="2" max="2" width="13" style="24" customWidth="1"/>
    <col min="3" max="3" width="8.85546875" style="24" customWidth="1"/>
    <col min="4" max="4" width="11.28515625" customWidth="1"/>
    <col min="5" max="5" width="11.140625" bestFit="1" customWidth="1"/>
    <col min="6" max="7" width="11.42578125" customWidth="1"/>
    <col min="8" max="8" width="6.140625" customWidth="1"/>
    <col min="9" max="9" width="10.42578125" customWidth="1"/>
    <col min="10" max="10" width="14.7109375" customWidth="1"/>
  </cols>
  <sheetData>
    <row r="1" spans="1:9" hidden="1" x14ac:dyDescent="0.25">
      <c r="B1" s="64" t="s">
        <v>173</v>
      </c>
    </row>
    <row r="2" spans="1:9" hidden="1" x14ac:dyDescent="0.25"/>
    <row r="3" spans="1:9" ht="30" hidden="1" x14ac:dyDescent="0.25">
      <c r="A3" s="1" t="s">
        <v>153</v>
      </c>
      <c r="B3" s="24" t="s">
        <v>149</v>
      </c>
      <c r="C3" s="24" t="s">
        <v>150</v>
      </c>
      <c r="D3" s="24" t="s">
        <v>151</v>
      </c>
      <c r="E3" s="24" t="s">
        <v>142</v>
      </c>
      <c r="F3" s="24" t="s">
        <v>147</v>
      </c>
      <c r="G3" s="24" t="s">
        <v>170</v>
      </c>
      <c r="H3" s="24" t="s">
        <v>152</v>
      </c>
      <c r="I3" s="24" t="s">
        <v>148</v>
      </c>
    </row>
    <row r="4" spans="1:9" ht="45" hidden="1" x14ac:dyDescent="0.25">
      <c r="A4" s="1">
        <v>1</v>
      </c>
      <c r="B4" s="24" t="s">
        <v>154</v>
      </c>
      <c r="C4" s="24" t="s">
        <v>155</v>
      </c>
      <c r="D4" s="37">
        <f>'Goose Creek'!I16</f>
        <v>212770800</v>
      </c>
      <c r="E4" s="55">
        <f>'Goose Creek'!I23</f>
        <v>306516650</v>
      </c>
      <c r="F4" s="57">
        <f>E4-D4</f>
        <v>93745850</v>
      </c>
      <c r="G4" s="62">
        <f>'PV Goose Creek'!B31</f>
        <v>45674130.358926147</v>
      </c>
    </row>
    <row r="5" spans="1:9" hidden="1" x14ac:dyDescent="0.25">
      <c r="H5" s="4">
        <v>2012</v>
      </c>
      <c r="I5" s="35">
        <f>'Goose Creek'!L11</f>
        <v>9453868.75</v>
      </c>
    </row>
    <row r="6" spans="1:9" hidden="1" x14ac:dyDescent="0.25">
      <c r="H6" s="4">
        <v>2013</v>
      </c>
      <c r="I6" s="35">
        <f>'Goose Creek'!L12</f>
        <v>9456718.75</v>
      </c>
    </row>
    <row r="7" spans="1:9" hidden="1" x14ac:dyDescent="0.25">
      <c r="H7" s="4">
        <v>2014</v>
      </c>
      <c r="I7" s="35">
        <f>'Goose Creek'!L13</f>
        <v>9456718.75</v>
      </c>
    </row>
    <row r="8" spans="1:9" hidden="1" x14ac:dyDescent="0.25">
      <c r="H8" s="4">
        <v>2015</v>
      </c>
      <c r="I8" s="35">
        <f>'Goose Creek'!L14</f>
        <v>9454543.75</v>
      </c>
    </row>
    <row r="9" spans="1:9" hidden="1" x14ac:dyDescent="0.25">
      <c r="H9" s="4">
        <v>2016</v>
      </c>
      <c r="I9" s="35">
        <f>'Goose Creek'!L15</f>
        <v>9441318.75</v>
      </c>
    </row>
    <row r="10" spans="1:9" hidden="1" x14ac:dyDescent="0.25">
      <c r="H10" s="4">
        <v>2017</v>
      </c>
      <c r="I10" s="35">
        <f>'Goose Creek'!L16</f>
        <v>9408618.75</v>
      </c>
    </row>
    <row r="11" spans="1:9" hidden="1" x14ac:dyDescent="0.25">
      <c r="H11" s="4">
        <v>2018</v>
      </c>
      <c r="I11" s="35">
        <f>'Goose Creek'!L17</f>
        <v>9362793.75</v>
      </c>
    </row>
    <row r="12" spans="1:9" hidden="1" x14ac:dyDescent="0.25">
      <c r="H12">
        <v>2019</v>
      </c>
      <c r="I12" s="35">
        <f>'Goose Creek'!L18</f>
        <v>9309968.75</v>
      </c>
    </row>
    <row r="13" spans="1:9" hidden="1" x14ac:dyDescent="0.25">
      <c r="H13">
        <v>2020</v>
      </c>
      <c r="I13" s="35">
        <f>'Goose Creek'!L19</f>
        <v>17390593.75</v>
      </c>
    </row>
    <row r="14" spans="1:9" hidden="1" x14ac:dyDescent="0.25">
      <c r="H14">
        <v>2021</v>
      </c>
      <c r="I14" s="35">
        <f>'Goose Creek'!L20</f>
        <v>17815000</v>
      </c>
    </row>
    <row r="15" spans="1:9" hidden="1" x14ac:dyDescent="0.25">
      <c r="H15">
        <f>H14+1</f>
        <v>2022</v>
      </c>
      <c r="I15" s="35">
        <f>'Goose Creek'!L21</f>
        <v>17815000</v>
      </c>
    </row>
    <row r="16" spans="1:9" hidden="1" x14ac:dyDescent="0.25">
      <c r="H16">
        <f t="shared" ref="H16:H25" si="0">H15+1</f>
        <v>2023</v>
      </c>
      <c r="I16" s="35">
        <f>'Goose Creek'!L22</f>
        <v>17815000</v>
      </c>
    </row>
    <row r="17" spans="1:9" hidden="1" x14ac:dyDescent="0.25">
      <c r="H17">
        <f t="shared" si="0"/>
        <v>2024</v>
      </c>
      <c r="I17" s="35">
        <f>'Goose Creek'!L23</f>
        <v>17815000</v>
      </c>
    </row>
    <row r="18" spans="1:9" hidden="1" x14ac:dyDescent="0.25">
      <c r="H18">
        <f t="shared" si="0"/>
        <v>2025</v>
      </c>
      <c r="I18" s="35">
        <f>'Goose Creek'!L24</f>
        <v>17815000</v>
      </c>
    </row>
    <row r="19" spans="1:9" hidden="1" x14ac:dyDescent="0.25">
      <c r="H19">
        <f t="shared" si="0"/>
        <v>2026</v>
      </c>
      <c r="I19" s="35">
        <f>'Goose Creek'!L25</f>
        <v>17815000</v>
      </c>
    </row>
    <row r="20" spans="1:9" hidden="1" x14ac:dyDescent="0.25">
      <c r="H20">
        <f t="shared" si="0"/>
        <v>2027</v>
      </c>
      <c r="I20" s="35">
        <f>'Goose Creek'!L26</f>
        <v>17815000</v>
      </c>
    </row>
    <row r="21" spans="1:9" hidden="1" x14ac:dyDescent="0.25">
      <c r="H21">
        <f>H20+1</f>
        <v>2028</v>
      </c>
      <c r="I21" s="35">
        <f>'Goose Creek'!L27</f>
        <v>17815000</v>
      </c>
    </row>
    <row r="22" spans="1:9" hidden="1" x14ac:dyDescent="0.25">
      <c r="H22">
        <f t="shared" si="0"/>
        <v>2029</v>
      </c>
      <c r="I22" s="35">
        <f>'Goose Creek'!L28</f>
        <v>17815000</v>
      </c>
    </row>
    <row r="23" spans="1:9" hidden="1" x14ac:dyDescent="0.25">
      <c r="H23">
        <f t="shared" si="0"/>
        <v>2030</v>
      </c>
      <c r="I23" s="35">
        <f>'Goose Creek'!L29</f>
        <v>17815000</v>
      </c>
    </row>
    <row r="24" spans="1:9" hidden="1" x14ac:dyDescent="0.25">
      <c r="H24">
        <f t="shared" si="0"/>
        <v>2031</v>
      </c>
      <c r="I24" s="35">
        <f>'Goose Creek'!L30</f>
        <v>17815000</v>
      </c>
    </row>
    <row r="25" spans="1:9" ht="15.75" hidden="1" thickBot="1" x14ac:dyDescent="0.3">
      <c r="A25" s="56"/>
      <c r="B25" s="63"/>
      <c r="C25" s="63"/>
      <c r="D25" s="53"/>
      <c r="E25" s="53"/>
      <c r="F25" s="53"/>
      <c r="G25" s="53"/>
      <c r="H25" s="53">
        <f t="shared" si="0"/>
        <v>2032</v>
      </c>
      <c r="I25" s="54">
        <f>'Goose Creek'!L31</f>
        <v>17816706</v>
      </c>
    </row>
    <row r="26" spans="1:9" x14ac:dyDescent="0.25">
      <c r="A26" s="65"/>
      <c r="B26" s="69" t="s">
        <v>174</v>
      </c>
      <c r="C26" s="69"/>
      <c r="D26" s="67"/>
      <c r="E26" s="67"/>
      <c r="F26" s="67"/>
      <c r="G26" s="67"/>
      <c r="H26" s="67"/>
      <c r="I26" s="68"/>
    </row>
    <row r="27" spans="1:9" ht="30" x14ac:dyDescent="0.25">
      <c r="A27" s="1" t="s">
        <v>153</v>
      </c>
      <c r="B27" s="24" t="s">
        <v>149</v>
      </c>
      <c r="C27" s="24" t="s">
        <v>150</v>
      </c>
      <c r="D27" s="24" t="s">
        <v>151</v>
      </c>
      <c r="E27" s="24" t="s">
        <v>142</v>
      </c>
      <c r="F27" s="24" t="s">
        <v>147</v>
      </c>
      <c r="G27" s="24" t="s">
        <v>170</v>
      </c>
      <c r="H27" s="24" t="s">
        <v>152</v>
      </c>
      <c r="I27" s="24" t="s">
        <v>148</v>
      </c>
    </row>
    <row r="28" spans="1:9" ht="45" x14ac:dyDescent="0.25">
      <c r="A28" s="1">
        <v>2</v>
      </c>
      <c r="B28" s="24" t="s">
        <v>123</v>
      </c>
      <c r="C28" s="24" t="s">
        <v>155</v>
      </c>
      <c r="D28" s="37">
        <f>'Anchorage Jail'!I16</f>
        <v>25015200</v>
      </c>
      <c r="E28" s="55">
        <f>'Anchorage Jail'!I23</f>
        <v>30095925</v>
      </c>
      <c r="F28" s="57">
        <f>E28-D28</f>
        <v>5080725</v>
      </c>
      <c r="G28" s="62">
        <f>'PV Anchorage Jail'!B20</f>
        <v>3243041.0460599996</v>
      </c>
    </row>
    <row r="29" spans="1:9" x14ac:dyDescent="0.25">
      <c r="H29" s="4">
        <v>2012</v>
      </c>
      <c r="I29" s="35">
        <f>'Anchorage Jail'!L11</f>
        <v>1091750</v>
      </c>
    </row>
    <row r="30" spans="1:9" x14ac:dyDescent="0.25">
      <c r="H30" s="4">
        <v>2013</v>
      </c>
      <c r="I30" s="35">
        <f>'Anchorage Jail'!L12</f>
        <v>1086750</v>
      </c>
    </row>
    <row r="31" spans="1:9" x14ac:dyDescent="0.25">
      <c r="H31" s="4">
        <v>2014</v>
      </c>
      <c r="I31" s="35">
        <f>'Anchorage Jail'!L13</f>
        <v>1075250</v>
      </c>
    </row>
    <row r="32" spans="1:9" x14ac:dyDescent="0.25">
      <c r="H32" s="4">
        <v>2015</v>
      </c>
      <c r="I32" s="35">
        <f>'Anchorage Jail'!L14</f>
        <v>1073000</v>
      </c>
    </row>
    <row r="33" spans="1:9" x14ac:dyDescent="0.25">
      <c r="H33" s="4">
        <v>2016</v>
      </c>
      <c r="I33" s="35">
        <f>'Anchorage Jail'!L15</f>
        <v>5145275</v>
      </c>
    </row>
    <row r="34" spans="1:9" x14ac:dyDescent="0.25">
      <c r="H34" s="4">
        <v>2017</v>
      </c>
      <c r="I34" s="35">
        <f>'Anchorage Jail'!L16</f>
        <v>5143525</v>
      </c>
    </row>
    <row r="35" spans="1:9" x14ac:dyDescent="0.25">
      <c r="H35" s="4">
        <v>2018</v>
      </c>
      <c r="I35" s="35">
        <f>'Anchorage Jail'!L17</f>
        <v>5153375</v>
      </c>
    </row>
    <row r="36" spans="1:9" x14ac:dyDescent="0.25">
      <c r="H36">
        <v>2019</v>
      </c>
      <c r="I36" s="35">
        <f>'Anchorage Jail'!L18</f>
        <v>5160625</v>
      </c>
    </row>
    <row r="37" spans="1:9" ht="15.75" thickBot="1" x14ac:dyDescent="0.3">
      <c r="A37" s="56"/>
      <c r="B37" s="63"/>
      <c r="C37" s="63"/>
      <c r="D37" s="53"/>
      <c r="E37" s="53"/>
      <c r="F37" s="53"/>
      <c r="G37" s="53"/>
      <c r="H37" s="53">
        <v>2020</v>
      </c>
      <c r="I37" s="54">
        <f>'Anchorage Jail'!L19</f>
        <v>5166375</v>
      </c>
    </row>
    <row r="38" spans="1:9" x14ac:dyDescent="0.25">
      <c r="A38" s="65"/>
      <c r="B38" s="66"/>
      <c r="C38" s="66"/>
      <c r="D38" s="67"/>
      <c r="E38" s="67"/>
      <c r="F38" s="67"/>
      <c r="G38" s="67"/>
      <c r="H38" s="67"/>
      <c r="I38" s="68"/>
    </row>
    <row r="39" spans="1:9" x14ac:dyDescent="0.25">
      <c r="A39" s="65"/>
      <c r="B39" s="70" t="s">
        <v>175</v>
      </c>
      <c r="C39" s="70"/>
      <c r="D39" s="67"/>
      <c r="E39" s="67"/>
      <c r="F39" s="67"/>
      <c r="G39" s="67"/>
      <c r="H39" s="67"/>
      <c r="I39" s="68"/>
    </row>
    <row r="40" spans="1:9" ht="30" x14ac:dyDescent="0.25">
      <c r="A40" s="1" t="s">
        <v>153</v>
      </c>
      <c r="B40" s="24" t="s">
        <v>149</v>
      </c>
      <c r="C40" s="24" t="s">
        <v>150</v>
      </c>
      <c r="D40" s="24" t="s">
        <v>151</v>
      </c>
      <c r="E40" s="24" t="s">
        <v>142</v>
      </c>
      <c r="F40" s="24" t="s">
        <v>147</v>
      </c>
      <c r="G40" s="24" t="s">
        <v>170</v>
      </c>
      <c r="H40" s="24" t="s">
        <v>152</v>
      </c>
      <c r="I40" s="24" t="s">
        <v>148</v>
      </c>
    </row>
    <row r="41" spans="1:9" ht="45" x14ac:dyDescent="0.25">
      <c r="A41" s="1">
        <v>3</v>
      </c>
      <c r="B41" s="24" t="s">
        <v>156</v>
      </c>
      <c r="C41" s="24" t="s">
        <v>155</v>
      </c>
      <c r="D41" s="55">
        <f>('Alaska Psychiatric'!H11+Seafood!H11+'State Virology Lab'!H13)</f>
        <v>23730000</v>
      </c>
      <c r="E41" s="37">
        <f>'Alaska Psychiatric'!H20+Seafood!H20+'State Virology Lab'!H22</f>
        <v>30060273</v>
      </c>
      <c r="F41" s="57">
        <f>E41-D41</f>
        <v>6330273</v>
      </c>
      <c r="G41" s="62">
        <f>'PV COPS'!B20</f>
        <v>4706789.0761496201</v>
      </c>
    </row>
    <row r="42" spans="1:9" x14ac:dyDescent="0.25">
      <c r="H42" s="4">
        <v>2012</v>
      </c>
      <c r="I42" s="35">
        <f>'Alaska Psychiatric'!K8+Seafood!K8+'State Virology Lab'!K10</f>
        <v>1042700</v>
      </c>
    </row>
    <row r="43" spans="1:9" x14ac:dyDescent="0.25">
      <c r="H43" s="4">
        <v>2013</v>
      </c>
      <c r="I43" s="35">
        <f>'Alaska Psychiatric'!K9+Seafood!K9+'State Virology Lab'!K11</f>
        <v>2437695</v>
      </c>
    </row>
    <row r="44" spans="1:9" x14ac:dyDescent="0.25">
      <c r="H44" s="4">
        <v>2014</v>
      </c>
      <c r="I44" s="35">
        <f>'Alaska Psychiatric'!K10+Seafood!K10+'State Virology Lab'!K12</f>
        <v>3440500</v>
      </c>
    </row>
    <row r="45" spans="1:9" x14ac:dyDescent="0.25">
      <c r="H45" s="4">
        <v>2015</v>
      </c>
      <c r="I45" s="35">
        <f>'Alaska Psychiatric'!K11+Seafood!K11+'State Virology Lab'!K13</f>
        <v>3454895</v>
      </c>
    </row>
    <row r="46" spans="1:9" x14ac:dyDescent="0.25">
      <c r="H46" s="4">
        <v>2016</v>
      </c>
      <c r="I46" s="35">
        <f>'Alaska Psychiatric'!K12+Seafood!K12+'State Virology Lab'!K14</f>
        <v>5072873</v>
      </c>
    </row>
    <row r="47" spans="1:9" x14ac:dyDescent="0.25">
      <c r="H47" s="4">
        <v>2017</v>
      </c>
      <c r="I47" s="35">
        <f>Seafood!K13+'State Virology Lab'!K15</f>
        <v>3413874</v>
      </c>
    </row>
    <row r="48" spans="1:9" x14ac:dyDescent="0.25">
      <c r="H48" s="4">
        <v>2018</v>
      </c>
      <c r="I48" s="35">
        <f>'Alaska Psychiatric'!K14+Seafood!K14+'State Virology Lab'!K16</f>
        <v>3413962</v>
      </c>
    </row>
    <row r="49" spans="1:11" x14ac:dyDescent="0.25">
      <c r="H49">
        <v>2019</v>
      </c>
      <c r="I49" s="35">
        <f>'Alaska Psychiatric'!K15+Seafood!K15+'State Virology Lab'!K17</f>
        <v>3412362</v>
      </c>
    </row>
    <row r="50" spans="1:11" x14ac:dyDescent="0.25">
      <c r="H50" s="4">
        <v>2020</v>
      </c>
      <c r="I50" s="35">
        <f>'State Virology Lab'!K18</f>
        <v>2182162</v>
      </c>
    </row>
    <row r="51" spans="1:11" x14ac:dyDescent="0.25">
      <c r="H51" s="4">
        <v>2021</v>
      </c>
      <c r="I51" s="35">
        <f>'Alaska Psychiatric'!K17+Seafood!K17+'State Virology Lab'!K19</f>
        <v>2189250</v>
      </c>
    </row>
    <row r="52" spans="1:11" ht="15.75" thickBot="1" x14ac:dyDescent="0.3">
      <c r="A52" s="56"/>
      <c r="B52" s="63"/>
      <c r="C52" s="63"/>
      <c r="D52" s="53"/>
      <c r="E52" s="53"/>
      <c r="F52" s="53"/>
      <c r="G52" s="53"/>
      <c r="H52" s="53">
        <v>2022</v>
      </c>
      <c r="I52" s="54">
        <f>'Alaska Psychiatric'!K18+Seafood!K18+'State Virology Lab'!K21</f>
        <v>0</v>
      </c>
    </row>
    <row r="53" spans="1:11" ht="15" customHeight="1" x14ac:dyDescent="0.25">
      <c r="B53" s="69" t="s">
        <v>176</v>
      </c>
      <c r="C53" s="69"/>
      <c r="D53" s="69"/>
      <c r="E53" s="67"/>
      <c r="F53" s="67"/>
      <c r="G53" s="67"/>
      <c r="H53" s="67"/>
      <c r="I53" s="35"/>
    </row>
    <row r="54" spans="1:11" ht="30" x14ac:dyDescent="0.25">
      <c r="A54" s="1" t="s">
        <v>153</v>
      </c>
      <c r="B54" s="24" t="s">
        <v>149</v>
      </c>
      <c r="C54" s="24" t="s">
        <v>150</v>
      </c>
      <c r="D54" s="24" t="s">
        <v>151</v>
      </c>
      <c r="E54" s="24" t="s">
        <v>142</v>
      </c>
      <c r="F54" s="24" t="s">
        <v>147</v>
      </c>
      <c r="G54" s="24" t="s">
        <v>170</v>
      </c>
      <c r="H54" s="24" t="s">
        <v>152</v>
      </c>
      <c r="I54" s="24" t="s">
        <v>148</v>
      </c>
    </row>
    <row r="55" spans="1:11" x14ac:dyDescent="0.25">
      <c r="A55" s="1">
        <v>4</v>
      </c>
      <c r="B55" s="24" t="s">
        <v>171</v>
      </c>
      <c r="C55" s="24" t="s">
        <v>172</v>
      </c>
      <c r="D55" s="37">
        <v>150050000</v>
      </c>
      <c r="E55" s="55">
        <v>220000000</v>
      </c>
      <c r="F55" s="57">
        <f>E55-D55</f>
        <v>69950000</v>
      </c>
      <c r="G55" s="62">
        <f>'PV GO Prepay'!B32</f>
        <v>35022738.879059792</v>
      </c>
    </row>
    <row r="56" spans="1:11" x14ac:dyDescent="0.25">
      <c r="H56" s="4">
        <v>2012</v>
      </c>
      <c r="I56" s="35">
        <v>11000000</v>
      </c>
    </row>
    <row r="57" spans="1:11" x14ac:dyDescent="0.25">
      <c r="H57" s="4">
        <v>2013</v>
      </c>
      <c r="I57" s="35">
        <v>11000000</v>
      </c>
    </row>
    <row r="58" spans="1:11" x14ac:dyDescent="0.25">
      <c r="H58" s="4">
        <v>2014</v>
      </c>
      <c r="I58" s="35">
        <v>11000000</v>
      </c>
    </row>
    <row r="59" spans="1:11" x14ac:dyDescent="0.25">
      <c r="H59" s="4">
        <v>2015</v>
      </c>
      <c r="I59" s="35">
        <v>11000000</v>
      </c>
    </row>
    <row r="60" spans="1:11" x14ac:dyDescent="0.25">
      <c r="H60" s="4">
        <v>2016</v>
      </c>
      <c r="I60" s="35">
        <v>11000000</v>
      </c>
    </row>
    <row r="61" spans="1:11" x14ac:dyDescent="0.25">
      <c r="H61" s="4">
        <v>2017</v>
      </c>
      <c r="I61" s="35">
        <v>11000000</v>
      </c>
    </row>
    <row r="62" spans="1:11" x14ac:dyDescent="0.25">
      <c r="H62" s="4">
        <v>2018</v>
      </c>
      <c r="I62" s="35">
        <v>11000000</v>
      </c>
    </row>
    <row r="63" spans="1:11" x14ac:dyDescent="0.25">
      <c r="H63">
        <v>2019</v>
      </c>
      <c r="I63" s="35">
        <v>11000000</v>
      </c>
    </row>
    <row r="64" spans="1:11" x14ac:dyDescent="0.25">
      <c r="H64">
        <v>2020</v>
      </c>
      <c r="I64" s="35">
        <v>11000000</v>
      </c>
      <c r="K64">
        <f>(AVERAGE(I86:I91))</f>
        <v>18965383.833333332</v>
      </c>
    </row>
    <row r="65" spans="1:9" x14ac:dyDescent="0.25">
      <c r="H65">
        <v>2021</v>
      </c>
      <c r="I65" s="35">
        <v>11000000</v>
      </c>
    </row>
    <row r="66" spans="1:9" x14ac:dyDescent="0.25">
      <c r="H66">
        <f>H65+1</f>
        <v>2022</v>
      </c>
      <c r="I66" s="35">
        <v>11000000</v>
      </c>
    </row>
    <row r="67" spans="1:9" x14ac:dyDescent="0.25">
      <c r="H67">
        <f t="shared" ref="H67:H77" si="1">H66+1</f>
        <v>2023</v>
      </c>
      <c r="I67" s="35">
        <v>11000000</v>
      </c>
    </row>
    <row r="68" spans="1:9" x14ac:dyDescent="0.25">
      <c r="H68">
        <f t="shared" si="1"/>
        <v>2024</v>
      </c>
      <c r="I68" s="35">
        <v>11000000</v>
      </c>
    </row>
    <row r="69" spans="1:9" x14ac:dyDescent="0.25">
      <c r="H69">
        <f t="shared" si="1"/>
        <v>2025</v>
      </c>
      <c r="I69" s="35">
        <v>11000000</v>
      </c>
    </row>
    <row r="70" spans="1:9" x14ac:dyDescent="0.25">
      <c r="H70">
        <f t="shared" si="1"/>
        <v>2026</v>
      </c>
      <c r="I70" s="35">
        <v>11000000</v>
      </c>
    </row>
    <row r="71" spans="1:9" x14ac:dyDescent="0.25">
      <c r="H71">
        <f t="shared" si="1"/>
        <v>2027</v>
      </c>
      <c r="I71" s="35">
        <v>11000000</v>
      </c>
    </row>
    <row r="72" spans="1:9" x14ac:dyDescent="0.25">
      <c r="H72">
        <f>H71+1</f>
        <v>2028</v>
      </c>
      <c r="I72" s="35">
        <v>11000000</v>
      </c>
    </row>
    <row r="73" spans="1:9" x14ac:dyDescent="0.25">
      <c r="H73">
        <f t="shared" si="1"/>
        <v>2029</v>
      </c>
      <c r="I73" s="35">
        <v>11000000</v>
      </c>
    </row>
    <row r="74" spans="1:9" x14ac:dyDescent="0.25">
      <c r="H74">
        <f t="shared" si="1"/>
        <v>2030</v>
      </c>
      <c r="I74" s="35">
        <v>11000000</v>
      </c>
    </row>
    <row r="75" spans="1:9" x14ac:dyDescent="0.25">
      <c r="H75">
        <f t="shared" si="1"/>
        <v>2031</v>
      </c>
      <c r="I75" s="35">
        <v>11000000</v>
      </c>
    </row>
    <row r="76" spans="1:9" x14ac:dyDescent="0.25">
      <c r="H76">
        <f t="shared" si="1"/>
        <v>2032</v>
      </c>
      <c r="I76" s="35">
        <v>11000000</v>
      </c>
    </row>
    <row r="77" spans="1:9" x14ac:dyDescent="0.25">
      <c r="H77">
        <f t="shared" si="1"/>
        <v>2033</v>
      </c>
      <c r="I77" s="35">
        <v>11000000</v>
      </c>
    </row>
    <row r="78" spans="1:9" ht="15.75" thickBot="1" x14ac:dyDescent="0.3">
      <c r="A78" s="56"/>
      <c r="B78" s="63"/>
      <c r="C78" s="63"/>
      <c r="D78" s="53"/>
      <c r="E78" s="53"/>
      <c r="F78" s="53"/>
      <c r="G78" s="53"/>
      <c r="H78" s="53">
        <v>2034</v>
      </c>
      <c r="I78" s="54">
        <v>11000000</v>
      </c>
    </row>
    <row r="79" spans="1:9" x14ac:dyDescent="0.25">
      <c r="A79" s="1" t="s">
        <v>177</v>
      </c>
      <c r="D79" s="35">
        <f>D28+D41+D55</f>
        <v>198795200</v>
      </c>
      <c r="E79" s="35">
        <f t="shared" ref="E79:G79" si="2">E28+E41+E55</f>
        <v>280156198</v>
      </c>
      <c r="F79" s="35">
        <f t="shared" si="2"/>
        <v>81360998</v>
      </c>
      <c r="G79" s="35">
        <f t="shared" si="2"/>
        <v>42972569.001269415</v>
      </c>
    </row>
    <row r="80" spans="1:9" ht="15" customHeight="1" x14ac:dyDescent="0.25">
      <c r="B80" s="70" t="s">
        <v>180</v>
      </c>
      <c r="C80" s="70"/>
      <c r="D80" s="70"/>
      <c r="E80" s="70"/>
      <c r="F80" s="70"/>
    </row>
    <row r="81" spans="4:9" ht="30" x14ac:dyDescent="0.25">
      <c r="H81" s="24" t="s">
        <v>152</v>
      </c>
    </row>
    <row r="83" spans="4:9" x14ac:dyDescent="0.25">
      <c r="H83" s="4">
        <v>2012</v>
      </c>
      <c r="I83" s="35">
        <f>I56+I42+I29</f>
        <v>13134450</v>
      </c>
    </row>
    <row r="84" spans="4:9" x14ac:dyDescent="0.25">
      <c r="H84" s="4">
        <v>2013</v>
      </c>
      <c r="I84" s="35">
        <f>I57+I43+I30</f>
        <v>14524445</v>
      </c>
    </row>
    <row r="85" spans="4:9" x14ac:dyDescent="0.25">
      <c r="H85" s="4">
        <v>2014</v>
      </c>
      <c r="I85" s="35">
        <f>I58+I44+I31</f>
        <v>15515750</v>
      </c>
    </row>
    <row r="86" spans="4:9" x14ac:dyDescent="0.25">
      <c r="H86" s="4">
        <v>2015</v>
      </c>
      <c r="I86" s="35">
        <f>I59+I45+I32</f>
        <v>15527895</v>
      </c>
    </row>
    <row r="87" spans="4:9" x14ac:dyDescent="0.25">
      <c r="E87" s="2"/>
      <c r="H87" s="4">
        <v>2016</v>
      </c>
      <c r="I87" s="35">
        <f>I60+I46+I33</f>
        <v>21218148</v>
      </c>
    </row>
    <row r="88" spans="4:9" x14ac:dyDescent="0.25">
      <c r="H88" s="4">
        <v>2017</v>
      </c>
      <c r="I88" s="35">
        <f>I61+I47+I34</f>
        <v>19557399</v>
      </c>
    </row>
    <row r="89" spans="4:9" x14ac:dyDescent="0.25">
      <c r="H89" s="4">
        <v>2018</v>
      </c>
      <c r="I89" s="35">
        <f>I62+I48+I35</f>
        <v>19567337</v>
      </c>
    </row>
    <row r="90" spans="4:9" x14ac:dyDescent="0.25">
      <c r="H90">
        <v>2019</v>
      </c>
      <c r="I90" s="35">
        <f>I63+I49+I36</f>
        <v>19572987</v>
      </c>
    </row>
    <row r="91" spans="4:9" x14ac:dyDescent="0.25">
      <c r="D91" s="73" t="s">
        <v>179</v>
      </c>
      <c r="F91" s="74">
        <f>+AVERAGE(I86:I91)</f>
        <v>18965383.833333332</v>
      </c>
      <c r="H91">
        <v>2020</v>
      </c>
      <c r="I91" s="35">
        <f>I64+I50+I37</f>
        <v>18348537</v>
      </c>
    </row>
    <row r="92" spans="4:9" x14ac:dyDescent="0.25">
      <c r="H92">
        <v>2021</v>
      </c>
      <c r="I92" s="35">
        <f>I65+I51</f>
        <v>13189250</v>
      </c>
    </row>
    <row r="93" spans="4:9" x14ac:dyDescent="0.25">
      <c r="H93">
        <f>H92+1</f>
        <v>2022</v>
      </c>
      <c r="I93" s="35">
        <f>I66+I52</f>
        <v>11000000</v>
      </c>
    </row>
    <row r="94" spans="4:9" x14ac:dyDescent="0.25">
      <c r="H94">
        <f t="shared" ref="H94:H104" si="3">H93+1</f>
        <v>2023</v>
      </c>
      <c r="I94" s="35">
        <f>I67+I53</f>
        <v>11000000</v>
      </c>
    </row>
    <row r="95" spans="4:9" x14ac:dyDescent="0.25">
      <c r="H95">
        <f t="shared" si="3"/>
        <v>2024</v>
      </c>
      <c r="I95" s="35">
        <f>I68</f>
        <v>11000000</v>
      </c>
    </row>
    <row r="96" spans="4:9" x14ac:dyDescent="0.25">
      <c r="H96">
        <f t="shared" si="3"/>
        <v>2025</v>
      </c>
      <c r="I96" s="35">
        <f>I69</f>
        <v>11000000</v>
      </c>
    </row>
    <row r="97" spans="4:9" x14ac:dyDescent="0.25">
      <c r="H97">
        <f t="shared" si="3"/>
        <v>2026</v>
      </c>
      <c r="I97" s="35">
        <f>I70</f>
        <v>11000000</v>
      </c>
    </row>
    <row r="98" spans="4:9" x14ac:dyDescent="0.25">
      <c r="H98">
        <f t="shared" si="3"/>
        <v>2027</v>
      </c>
      <c r="I98" s="35">
        <f>I71</f>
        <v>11000000</v>
      </c>
    </row>
    <row r="99" spans="4:9" x14ac:dyDescent="0.25">
      <c r="H99">
        <f>H98+1</f>
        <v>2028</v>
      </c>
      <c r="I99" s="35">
        <f>I72</f>
        <v>11000000</v>
      </c>
    </row>
    <row r="100" spans="4:9" x14ac:dyDescent="0.25">
      <c r="H100">
        <f t="shared" si="3"/>
        <v>2029</v>
      </c>
      <c r="I100" s="35">
        <f>I73</f>
        <v>11000000</v>
      </c>
    </row>
    <row r="101" spans="4:9" x14ac:dyDescent="0.25">
      <c r="H101">
        <f t="shared" si="3"/>
        <v>2030</v>
      </c>
      <c r="I101" s="35">
        <f>I74</f>
        <v>11000000</v>
      </c>
    </row>
    <row r="102" spans="4:9" x14ac:dyDescent="0.25">
      <c r="H102">
        <f t="shared" si="3"/>
        <v>2031</v>
      </c>
      <c r="I102" s="35">
        <f>I75</f>
        <v>11000000</v>
      </c>
    </row>
    <row r="103" spans="4:9" x14ac:dyDescent="0.25">
      <c r="H103">
        <f t="shared" si="3"/>
        <v>2032</v>
      </c>
      <c r="I103" s="35">
        <f>I76</f>
        <v>11000000</v>
      </c>
    </row>
    <row r="104" spans="4:9" x14ac:dyDescent="0.25">
      <c r="H104">
        <f t="shared" si="3"/>
        <v>2033</v>
      </c>
      <c r="I104" s="35">
        <f>I77</f>
        <v>11000000</v>
      </c>
    </row>
    <row r="105" spans="4:9" ht="15.75" thickBot="1" x14ac:dyDescent="0.3">
      <c r="D105" s="73" t="s">
        <v>178</v>
      </c>
      <c r="E105" s="2"/>
      <c r="F105" s="74">
        <f>+AVERAGE(I83:I105)</f>
        <v>13615486.869565217</v>
      </c>
      <c r="H105" s="53">
        <v>2034</v>
      </c>
      <c r="I105" s="35">
        <f>I78</f>
        <v>11000000</v>
      </c>
    </row>
  </sheetData>
  <mergeCells count="4">
    <mergeCell ref="B26:C26"/>
    <mergeCell ref="B39:C39"/>
    <mergeCell ref="B53:D53"/>
    <mergeCell ref="B80:F80"/>
  </mergeCells>
  <pageMargins left="0.7" right="0.7" top="0.75" bottom="0.75" header="0.3" footer="0.3"/>
  <pageSetup orientation="portrait" r:id="rId1"/>
  <headerFooter>
    <oddHeader>&amp;C&amp;14Detailed Analytics by Project</oddHeader>
    <oddFooter>&amp;LAlaska Department of Revenue&amp;C&amp;P&amp;R&amp;D &amp;T</oddFooter>
  </headerFooter>
  <rowBreaks count="2" manualBreakCount="2">
    <brk id="38" max="16383" man="1"/>
    <brk id="7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opLeftCell="A23" workbookViewId="0">
      <selection sqref="A1:XFD1048576"/>
    </sheetView>
  </sheetViews>
  <sheetFormatPr defaultRowHeight="15.75" x14ac:dyDescent="0.25"/>
  <cols>
    <col min="1" max="1" width="14.5703125" customWidth="1"/>
    <col min="2" max="2" width="24.7109375" style="58" customWidth="1"/>
    <col min="257" max="257" width="14.5703125" customWidth="1"/>
    <col min="258" max="258" width="24.7109375" customWidth="1"/>
    <col min="513" max="513" width="14.5703125" customWidth="1"/>
    <col min="514" max="514" width="24.7109375" customWidth="1"/>
    <col min="769" max="769" width="14.5703125" customWidth="1"/>
    <col min="770" max="770" width="24.7109375" customWidth="1"/>
    <col min="1025" max="1025" width="14.5703125" customWidth="1"/>
    <col min="1026" max="1026" width="24.7109375" customWidth="1"/>
    <col min="1281" max="1281" width="14.5703125" customWidth="1"/>
    <col min="1282" max="1282" width="24.7109375" customWidth="1"/>
    <col min="1537" max="1537" width="14.5703125" customWidth="1"/>
    <col min="1538" max="1538" width="24.7109375" customWidth="1"/>
    <col min="1793" max="1793" width="14.5703125" customWidth="1"/>
    <col min="1794" max="1794" width="24.7109375" customWidth="1"/>
    <col min="2049" max="2049" width="14.5703125" customWidth="1"/>
    <col min="2050" max="2050" width="24.7109375" customWidth="1"/>
    <col min="2305" max="2305" width="14.5703125" customWidth="1"/>
    <col min="2306" max="2306" width="24.7109375" customWidth="1"/>
    <col min="2561" max="2561" width="14.5703125" customWidth="1"/>
    <col min="2562" max="2562" width="24.7109375" customWidth="1"/>
    <col min="2817" max="2817" width="14.5703125" customWidth="1"/>
    <col min="2818" max="2818" width="24.7109375" customWidth="1"/>
    <col min="3073" max="3073" width="14.5703125" customWidth="1"/>
    <col min="3074" max="3074" width="24.7109375" customWidth="1"/>
    <col min="3329" max="3329" width="14.5703125" customWidth="1"/>
    <col min="3330" max="3330" width="24.7109375" customWidth="1"/>
    <col min="3585" max="3585" width="14.5703125" customWidth="1"/>
    <col min="3586" max="3586" width="24.7109375" customWidth="1"/>
    <col min="3841" max="3841" width="14.5703125" customWidth="1"/>
    <col min="3842" max="3842" width="24.7109375" customWidth="1"/>
    <col min="4097" max="4097" width="14.5703125" customWidth="1"/>
    <col min="4098" max="4098" width="24.7109375" customWidth="1"/>
    <col min="4353" max="4353" width="14.5703125" customWidth="1"/>
    <col min="4354" max="4354" width="24.7109375" customWidth="1"/>
    <col min="4609" max="4609" width="14.5703125" customWidth="1"/>
    <col min="4610" max="4610" width="24.7109375" customWidth="1"/>
    <col min="4865" max="4865" width="14.5703125" customWidth="1"/>
    <col min="4866" max="4866" width="24.7109375" customWidth="1"/>
    <col min="5121" max="5121" width="14.5703125" customWidth="1"/>
    <col min="5122" max="5122" width="24.7109375" customWidth="1"/>
    <col min="5377" max="5377" width="14.5703125" customWidth="1"/>
    <col min="5378" max="5378" width="24.7109375" customWidth="1"/>
    <col min="5633" max="5633" width="14.5703125" customWidth="1"/>
    <col min="5634" max="5634" width="24.7109375" customWidth="1"/>
    <col min="5889" max="5889" width="14.5703125" customWidth="1"/>
    <col min="5890" max="5890" width="24.7109375" customWidth="1"/>
    <col min="6145" max="6145" width="14.5703125" customWidth="1"/>
    <col min="6146" max="6146" width="24.7109375" customWidth="1"/>
    <col min="6401" max="6401" width="14.5703125" customWidth="1"/>
    <col min="6402" max="6402" width="24.7109375" customWidth="1"/>
    <col min="6657" max="6657" width="14.5703125" customWidth="1"/>
    <col min="6658" max="6658" width="24.7109375" customWidth="1"/>
    <col min="6913" max="6913" width="14.5703125" customWidth="1"/>
    <col min="6914" max="6914" width="24.7109375" customWidth="1"/>
    <col min="7169" max="7169" width="14.5703125" customWidth="1"/>
    <col min="7170" max="7170" width="24.7109375" customWidth="1"/>
    <col min="7425" max="7425" width="14.5703125" customWidth="1"/>
    <col min="7426" max="7426" width="24.7109375" customWidth="1"/>
    <col min="7681" max="7681" width="14.5703125" customWidth="1"/>
    <col min="7682" max="7682" width="24.7109375" customWidth="1"/>
    <col min="7937" max="7937" width="14.5703125" customWidth="1"/>
    <col min="7938" max="7938" width="24.7109375" customWidth="1"/>
    <col min="8193" max="8193" width="14.5703125" customWidth="1"/>
    <col min="8194" max="8194" width="24.7109375" customWidth="1"/>
    <col min="8449" max="8449" width="14.5703125" customWidth="1"/>
    <col min="8450" max="8450" width="24.7109375" customWidth="1"/>
    <col min="8705" max="8705" width="14.5703125" customWidth="1"/>
    <col min="8706" max="8706" width="24.7109375" customWidth="1"/>
    <col min="8961" max="8961" width="14.5703125" customWidth="1"/>
    <col min="8962" max="8962" width="24.7109375" customWidth="1"/>
    <col min="9217" max="9217" width="14.5703125" customWidth="1"/>
    <col min="9218" max="9218" width="24.7109375" customWidth="1"/>
    <col min="9473" max="9473" width="14.5703125" customWidth="1"/>
    <col min="9474" max="9474" width="24.7109375" customWidth="1"/>
    <col min="9729" max="9729" width="14.5703125" customWidth="1"/>
    <col min="9730" max="9730" width="24.7109375" customWidth="1"/>
    <col min="9985" max="9985" width="14.5703125" customWidth="1"/>
    <col min="9986" max="9986" width="24.7109375" customWidth="1"/>
    <col min="10241" max="10241" width="14.5703125" customWidth="1"/>
    <col min="10242" max="10242" width="24.7109375" customWidth="1"/>
    <col min="10497" max="10497" width="14.5703125" customWidth="1"/>
    <col min="10498" max="10498" width="24.7109375" customWidth="1"/>
    <col min="10753" max="10753" width="14.5703125" customWidth="1"/>
    <col min="10754" max="10754" width="24.7109375" customWidth="1"/>
    <col min="11009" max="11009" width="14.5703125" customWidth="1"/>
    <col min="11010" max="11010" width="24.7109375" customWidth="1"/>
    <col min="11265" max="11265" width="14.5703125" customWidth="1"/>
    <col min="11266" max="11266" width="24.7109375" customWidth="1"/>
    <col min="11521" max="11521" width="14.5703125" customWidth="1"/>
    <col min="11522" max="11522" width="24.7109375" customWidth="1"/>
    <col min="11777" max="11777" width="14.5703125" customWidth="1"/>
    <col min="11778" max="11778" width="24.7109375" customWidth="1"/>
    <col min="12033" max="12033" width="14.5703125" customWidth="1"/>
    <col min="12034" max="12034" width="24.7109375" customWidth="1"/>
    <col min="12289" max="12289" width="14.5703125" customWidth="1"/>
    <col min="12290" max="12290" width="24.7109375" customWidth="1"/>
    <col min="12545" max="12545" width="14.5703125" customWidth="1"/>
    <col min="12546" max="12546" width="24.7109375" customWidth="1"/>
    <col min="12801" max="12801" width="14.5703125" customWidth="1"/>
    <col min="12802" max="12802" width="24.7109375" customWidth="1"/>
    <col min="13057" max="13057" width="14.5703125" customWidth="1"/>
    <col min="13058" max="13058" width="24.7109375" customWidth="1"/>
    <col min="13313" max="13313" width="14.5703125" customWidth="1"/>
    <col min="13314" max="13314" width="24.7109375" customWidth="1"/>
    <col min="13569" max="13569" width="14.5703125" customWidth="1"/>
    <col min="13570" max="13570" width="24.7109375" customWidth="1"/>
    <col min="13825" max="13825" width="14.5703125" customWidth="1"/>
    <col min="13826" max="13826" width="24.7109375" customWidth="1"/>
    <col min="14081" max="14081" width="14.5703125" customWidth="1"/>
    <col min="14082" max="14082" width="24.7109375" customWidth="1"/>
    <col min="14337" max="14337" width="14.5703125" customWidth="1"/>
    <col min="14338" max="14338" width="24.7109375" customWidth="1"/>
    <col min="14593" max="14593" width="14.5703125" customWidth="1"/>
    <col min="14594" max="14594" width="24.7109375" customWidth="1"/>
    <col min="14849" max="14849" width="14.5703125" customWidth="1"/>
    <col min="14850" max="14850" width="24.7109375" customWidth="1"/>
    <col min="15105" max="15105" width="14.5703125" customWidth="1"/>
    <col min="15106" max="15106" width="24.7109375" customWidth="1"/>
    <col min="15361" max="15361" width="14.5703125" customWidth="1"/>
    <col min="15362" max="15362" width="24.7109375" customWidth="1"/>
    <col min="15617" max="15617" width="14.5703125" customWidth="1"/>
    <col min="15618" max="15618" width="24.7109375" customWidth="1"/>
    <col min="15873" max="15873" width="14.5703125" customWidth="1"/>
    <col min="15874" max="15874" width="24.7109375" customWidth="1"/>
    <col min="16129" max="16129" width="14.5703125" customWidth="1"/>
    <col min="16130" max="16130" width="24.7109375" customWidth="1"/>
  </cols>
  <sheetData>
    <row r="2" spans="1:4" x14ac:dyDescent="0.25">
      <c r="A2" t="s">
        <v>151</v>
      </c>
      <c r="B2" s="58">
        <v>210000000</v>
      </c>
    </row>
    <row r="4" spans="1:4" x14ac:dyDescent="0.25">
      <c r="A4" s="14">
        <v>40724</v>
      </c>
      <c r="B4" s="58">
        <f>(SUM(B7:B27))</f>
        <v>306517146</v>
      </c>
      <c r="C4" t="s">
        <v>160</v>
      </c>
      <c r="D4" s="5">
        <v>1.4999999999999999E-2</v>
      </c>
    </row>
    <row r="5" spans="1:4" ht="1.5" customHeight="1" x14ac:dyDescent="0.25">
      <c r="A5" s="14"/>
      <c r="D5" s="59"/>
    </row>
    <row r="6" spans="1:4" ht="45.75" customHeight="1" x14ac:dyDescent="0.25">
      <c r="A6" s="39" t="s">
        <v>161</v>
      </c>
      <c r="B6" s="60" t="s">
        <v>162</v>
      </c>
      <c r="D6" s="59"/>
    </row>
    <row r="7" spans="1:4" x14ac:dyDescent="0.25">
      <c r="A7" s="14">
        <v>40725</v>
      </c>
      <c r="B7" s="58">
        <v>9453869</v>
      </c>
    </row>
    <row r="8" spans="1:4" x14ac:dyDescent="0.25">
      <c r="A8" s="14">
        <v>41091</v>
      </c>
      <c r="B8" s="58">
        <v>9456719</v>
      </c>
    </row>
    <row r="9" spans="1:4" x14ac:dyDescent="0.25">
      <c r="A9" s="14">
        <v>41456</v>
      </c>
      <c r="B9" s="58">
        <v>9456719</v>
      </c>
    </row>
    <row r="10" spans="1:4" x14ac:dyDescent="0.25">
      <c r="A10" s="14">
        <v>41821</v>
      </c>
      <c r="B10" s="58">
        <v>9456544</v>
      </c>
    </row>
    <row r="11" spans="1:4" x14ac:dyDescent="0.25">
      <c r="A11" s="14">
        <v>42186</v>
      </c>
      <c r="B11" s="58">
        <v>9441319</v>
      </c>
    </row>
    <row r="12" spans="1:4" x14ac:dyDescent="0.25">
      <c r="A12" s="14">
        <v>42552</v>
      </c>
      <c r="B12" s="58">
        <v>9408619</v>
      </c>
    </row>
    <row r="13" spans="1:4" x14ac:dyDescent="0.25">
      <c r="A13" s="14">
        <v>42917</v>
      </c>
      <c r="B13" s="58">
        <v>9362794</v>
      </c>
    </row>
    <row r="14" spans="1:4" x14ac:dyDescent="0.25">
      <c r="A14" s="14">
        <v>43282</v>
      </c>
      <c r="B14" s="58">
        <v>9309969</v>
      </c>
    </row>
    <row r="15" spans="1:4" x14ac:dyDescent="0.25">
      <c r="A15" s="14">
        <v>43647</v>
      </c>
      <c r="B15" s="58">
        <v>17390594</v>
      </c>
    </row>
    <row r="16" spans="1:4" x14ac:dyDescent="0.25">
      <c r="A16" s="14">
        <v>44013</v>
      </c>
      <c r="B16" s="58">
        <v>17815000</v>
      </c>
    </row>
    <row r="17" spans="1:2" x14ac:dyDescent="0.25">
      <c r="A17" s="14">
        <v>44378</v>
      </c>
      <c r="B17" s="58">
        <v>17815000</v>
      </c>
    </row>
    <row r="18" spans="1:2" x14ac:dyDescent="0.25">
      <c r="A18" s="14">
        <v>44743</v>
      </c>
      <c r="B18" s="58">
        <v>17815000</v>
      </c>
    </row>
    <row r="19" spans="1:2" x14ac:dyDescent="0.25">
      <c r="A19" s="14">
        <v>45108</v>
      </c>
      <c r="B19" s="58">
        <v>17815000</v>
      </c>
    </row>
    <row r="20" spans="1:2" x14ac:dyDescent="0.25">
      <c r="A20" s="14">
        <v>45474</v>
      </c>
      <c r="B20" s="58">
        <v>17815000</v>
      </c>
    </row>
    <row r="21" spans="1:2" x14ac:dyDescent="0.25">
      <c r="A21" s="14">
        <v>45839</v>
      </c>
      <c r="B21" s="58">
        <v>17815000</v>
      </c>
    </row>
    <row r="22" spans="1:2" x14ac:dyDescent="0.25">
      <c r="A22" s="14">
        <v>46204</v>
      </c>
      <c r="B22" s="58">
        <v>17815000</v>
      </c>
    </row>
    <row r="23" spans="1:2" x14ac:dyDescent="0.25">
      <c r="A23" s="14">
        <v>46569</v>
      </c>
      <c r="B23" s="58">
        <v>17815000</v>
      </c>
    </row>
    <row r="24" spans="1:2" x14ac:dyDescent="0.25">
      <c r="A24" s="14">
        <v>46935</v>
      </c>
      <c r="B24" s="58">
        <v>17815000</v>
      </c>
    </row>
    <row r="25" spans="1:2" x14ac:dyDescent="0.25">
      <c r="A25" s="14">
        <v>47300</v>
      </c>
      <c r="B25" s="58">
        <v>17815000</v>
      </c>
    </row>
    <row r="26" spans="1:2" x14ac:dyDescent="0.25">
      <c r="A26" s="14">
        <v>47665</v>
      </c>
      <c r="B26" s="58">
        <v>17815000</v>
      </c>
    </row>
    <row r="27" spans="1:2" x14ac:dyDescent="0.25">
      <c r="A27" s="14">
        <v>48030</v>
      </c>
      <c r="B27" s="58">
        <v>17815000</v>
      </c>
    </row>
    <row r="29" spans="1:2" ht="30" x14ac:dyDescent="0.25">
      <c r="A29" s="24" t="s">
        <v>163</v>
      </c>
      <c r="B29" s="61">
        <f>NPV(D4,B7:B27)</f>
        <v>255674130.35892615</v>
      </c>
    </row>
    <row r="30" spans="1:2" ht="15" x14ac:dyDescent="0.25">
      <c r="B30"/>
    </row>
    <row r="31" spans="1:2" x14ac:dyDescent="0.25">
      <c r="A31" s="24" t="s">
        <v>164</v>
      </c>
      <c r="B31" s="61">
        <f>B29-B2</f>
        <v>45674130.358926147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B1" sqref="B1:B1048576"/>
    </sheetView>
  </sheetViews>
  <sheetFormatPr defaultColWidth="15.28515625" defaultRowHeight="15" x14ac:dyDescent="0.25"/>
  <cols>
    <col min="2" max="2" width="19.7109375" customWidth="1"/>
  </cols>
  <sheetData>
    <row r="2" spans="1:4" x14ac:dyDescent="0.25">
      <c r="A2" t="s">
        <v>165</v>
      </c>
      <c r="B2" s="35">
        <v>25015200</v>
      </c>
    </row>
    <row r="4" spans="1:4" ht="15.75" x14ac:dyDescent="0.25">
      <c r="A4" s="14">
        <v>40724</v>
      </c>
      <c r="B4" s="58">
        <f>(SUM(B7:B15))</f>
        <v>30095925</v>
      </c>
      <c r="C4" t="s">
        <v>160</v>
      </c>
      <c r="D4" s="5">
        <v>0.01</v>
      </c>
    </row>
    <row r="5" spans="1:4" ht="15.75" x14ac:dyDescent="0.25">
      <c r="A5" s="14"/>
      <c r="B5" s="58"/>
      <c r="D5" s="59"/>
    </row>
    <row r="6" spans="1:4" ht="45" x14ac:dyDescent="0.25">
      <c r="A6" s="39" t="s">
        <v>161</v>
      </c>
      <c r="B6" s="60" t="s">
        <v>166</v>
      </c>
      <c r="D6" s="59"/>
    </row>
    <row r="7" spans="1:4" ht="15.75" x14ac:dyDescent="0.25">
      <c r="A7" s="14">
        <v>40725</v>
      </c>
      <c r="B7" s="58">
        <v>1091750</v>
      </c>
    </row>
    <row r="8" spans="1:4" ht="15.75" x14ac:dyDescent="0.25">
      <c r="A8" s="14">
        <v>41091</v>
      </c>
      <c r="B8" s="58">
        <v>1086750</v>
      </c>
    </row>
    <row r="9" spans="1:4" ht="15.75" x14ac:dyDescent="0.25">
      <c r="A9" s="14">
        <v>41456</v>
      </c>
      <c r="B9" s="58">
        <v>1075250</v>
      </c>
    </row>
    <row r="10" spans="1:4" ht="15.75" x14ac:dyDescent="0.25">
      <c r="A10" s="14">
        <v>41821</v>
      </c>
      <c r="B10" s="58">
        <v>1073000</v>
      </c>
    </row>
    <row r="11" spans="1:4" ht="15.75" x14ac:dyDescent="0.25">
      <c r="A11" s="14">
        <v>42186</v>
      </c>
      <c r="B11" s="58">
        <v>5145275</v>
      </c>
    </row>
    <row r="12" spans="1:4" ht="15.75" x14ac:dyDescent="0.25">
      <c r="A12" s="14">
        <v>42552</v>
      </c>
      <c r="B12" s="58">
        <v>5143525</v>
      </c>
    </row>
    <row r="13" spans="1:4" ht="15.75" x14ac:dyDescent="0.25">
      <c r="A13" s="14">
        <v>42917</v>
      </c>
      <c r="B13" s="58">
        <v>5153375</v>
      </c>
    </row>
    <row r="14" spans="1:4" ht="15.75" x14ac:dyDescent="0.25">
      <c r="A14" s="14">
        <v>43282</v>
      </c>
      <c r="B14" s="58">
        <v>5160625</v>
      </c>
    </row>
    <row r="15" spans="1:4" ht="15.75" x14ac:dyDescent="0.25">
      <c r="A15" s="14">
        <v>43647</v>
      </c>
      <c r="B15" s="58">
        <v>5166375</v>
      </c>
    </row>
    <row r="16" spans="1:4" ht="15.75" x14ac:dyDescent="0.25">
      <c r="B16" s="58"/>
    </row>
    <row r="17" spans="1:2" ht="30" x14ac:dyDescent="0.25">
      <c r="A17" s="24" t="s">
        <v>163</v>
      </c>
      <c r="B17" s="61">
        <f>NPV(D4,B7:B15)</f>
        <v>28258241.04606</v>
      </c>
    </row>
    <row r="20" spans="1:2" ht="15.75" x14ac:dyDescent="0.25">
      <c r="A20" s="24" t="s">
        <v>164</v>
      </c>
      <c r="B20" s="61">
        <f>B17-B2</f>
        <v>3243041.0460599996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D4" sqref="D4"/>
    </sheetView>
  </sheetViews>
  <sheetFormatPr defaultColWidth="20.28515625" defaultRowHeight="15" x14ac:dyDescent="0.25"/>
  <sheetData>
    <row r="2" spans="1:4" x14ac:dyDescent="0.25">
      <c r="A2" t="s">
        <v>151</v>
      </c>
      <c r="B2" s="35">
        <v>23730000</v>
      </c>
    </row>
    <row r="3" spans="1:4" x14ac:dyDescent="0.25">
      <c r="B3" t="s">
        <v>167</v>
      </c>
    </row>
    <row r="4" spans="1:4" ht="15.75" x14ac:dyDescent="0.25">
      <c r="A4" s="14">
        <v>40724</v>
      </c>
      <c r="B4" s="58">
        <f>(SUM(B7:B16))</f>
        <v>30060273</v>
      </c>
      <c r="C4" t="s">
        <v>160</v>
      </c>
      <c r="D4" s="5">
        <v>0.01</v>
      </c>
    </row>
    <row r="5" spans="1:4" ht="15.75" x14ac:dyDescent="0.25">
      <c r="A5" s="14"/>
      <c r="B5" s="58"/>
      <c r="D5" s="59"/>
    </row>
    <row r="6" spans="1:4" ht="45" x14ac:dyDescent="0.25">
      <c r="A6" s="39" t="s">
        <v>161</v>
      </c>
      <c r="B6" s="60" t="s">
        <v>168</v>
      </c>
      <c r="D6" s="59"/>
    </row>
    <row r="7" spans="1:4" ht="15.75" x14ac:dyDescent="0.25">
      <c r="A7" s="14">
        <v>40725</v>
      </c>
      <c r="B7" s="58">
        <v>1042700</v>
      </c>
    </row>
    <row r="8" spans="1:4" ht="15.75" x14ac:dyDescent="0.25">
      <c r="A8" s="14">
        <v>41091</v>
      </c>
      <c r="B8" s="58">
        <v>2437695</v>
      </c>
    </row>
    <row r="9" spans="1:4" ht="15.75" x14ac:dyDescent="0.25">
      <c r="A9" s="14">
        <v>41456</v>
      </c>
      <c r="B9" s="58">
        <v>3440500</v>
      </c>
    </row>
    <row r="10" spans="1:4" ht="15.75" x14ac:dyDescent="0.25">
      <c r="A10" s="14">
        <v>41821</v>
      </c>
      <c r="B10" s="58">
        <v>3454895</v>
      </c>
    </row>
    <row r="11" spans="1:4" ht="15.75" x14ac:dyDescent="0.25">
      <c r="A11" s="14">
        <v>42186</v>
      </c>
      <c r="B11" s="58">
        <v>5072873</v>
      </c>
    </row>
    <row r="12" spans="1:4" ht="15.75" x14ac:dyDescent="0.25">
      <c r="A12" s="14">
        <v>42552</v>
      </c>
      <c r="B12" s="58">
        <v>3413874</v>
      </c>
    </row>
    <row r="13" spans="1:4" ht="15.75" x14ac:dyDescent="0.25">
      <c r="A13" s="14">
        <v>42917</v>
      </c>
      <c r="B13" s="58">
        <v>3413962</v>
      </c>
    </row>
    <row r="14" spans="1:4" ht="15.75" x14ac:dyDescent="0.25">
      <c r="A14" s="14">
        <v>43282</v>
      </c>
      <c r="B14" s="58">
        <v>3412362</v>
      </c>
    </row>
    <row r="15" spans="1:4" ht="15.75" x14ac:dyDescent="0.25">
      <c r="A15" s="14">
        <v>43647</v>
      </c>
      <c r="B15" s="58">
        <v>2182162</v>
      </c>
    </row>
    <row r="16" spans="1:4" ht="15.75" x14ac:dyDescent="0.25">
      <c r="A16" s="14">
        <v>44013</v>
      </c>
      <c r="B16" s="58">
        <v>2189250</v>
      </c>
    </row>
    <row r="17" spans="1:2" ht="15.75" x14ac:dyDescent="0.25">
      <c r="B17" s="58"/>
    </row>
    <row r="18" spans="1:2" ht="30" x14ac:dyDescent="0.25">
      <c r="A18" s="24" t="s">
        <v>163</v>
      </c>
      <c r="B18" s="61">
        <f>NPV(D4,B7:B16)</f>
        <v>28436789.07614962</v>
      </c>
    </row>
    <row r="20" spans="1:2" ht="15.75" x14ac:dyDescent="0.25">
      <c r="A20" s="24" t="s">
        <v>164</v>
      </c>
      <c r="B20" s="61">
        <f>B18-B2</f>
        <v>4706789.0761496201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opLeftCell="A19" workbookViewId="0">
      <selection activeCell="A36" sqref="A36"/>
    </sheetView>
  </sheetViews>
  <sheetFormatPr defaultRowHeight="15.75" x14ac:dyDescent="0.25"/>
  <cols>
    <col min="1" max="1" width="14.5703125" customWidth="1"/>
    <col min="2" max="2" width="24.7109375" style="58" customWidth="1"/>
    <col min="257" max="257" width="14.5703125" customWidth="1"/>
    <col min="258" max="258" width="24.7109375" customWidth="1"/>
    <col min="513" max="513" width="14.5703125" customWidth="1"/>
    <col min="514" max="514" width="24.7109375" customWidth="1"/>
    <col min="769" max="769" width="14.5703125" customWidth="1"/>
    <col min="770" max="770" width="24.7109375" customWidth="1"/>
    <col min="1025" max="1025" width="14.5703125" customWidth="1"/>
    <col min="1026" max="1026" width="24.7109375" customWidth="1"/>
    <col min="1281" max="1281" width="14.5703125" customWidth="1"/>
    <col min="1282" max="1282" width="24.7109375" customWidth="1"/>
    <col min="1537" max="1537" width="14.5703125" customWidth="1"/>
    <col min="1538" max="1538" width="24.7109375" customWidth="1"/>
    <col min="1793" max="1793" width="14.5703125" customWidth="1"/>
    <col min="1794" max="1794" width="24.7109375" customWidth="1"/>
    <col min="2049" max="2049" width="14.5703125" customWidth="1"/>
    <col min="2050" max="2050" width="24.7109375" customWidth="1"/>
    <col min="2305" max="2305" width="14.5703125" customWidth="1"/>
    <col min="2306" max="2306" width="24.7109375" customWidth="1"/>
    <col min="2561" max="2561" width="14.5703125" customWidth="1"/>
    <col min="2562" max="2562" width="24.7109375" customWidth="1"/>
    <col min="2817" max="2817" width="14.5703125" customWidth="1"/>
    <col min="2818" max="2818" width="24.7109375" customWidth="1"/>
    <col min="3073" max="3073" width="14.5703125" customWidth="1"/>
    <col min="3074" max="3074" width="24.7109375" customWidth="1"/>
    <col min="3329" max="3329" width="14.5703125" customWidth="1"/>
    <col min="3330" max="3330" width="24.7109375" customWidth="1"/>
    <col min="3585" max="3585" width="14.5703125" customWidth="1"/>
    <col min="3586" max="3586" width="24.7109375" customWidth="1"/>
    <col min="3841" max="3841" width="14.5703125" customWidth="1"/>
    <col min="3842" max="3842" width="24.7109375" customWidth="1"/>
    <col min="4097" max="4097" width="14.5703125" customWidth="1"/>
    <col min="4098" max="4098" width="24.7109375" customWidth="1"/>
    <col min="4353" max="4353" width="14.5703125" customWidth="1"/>
    <col min="4354" max="4354" width="24.7109375" customWidth="1"/>
    <col min="4609" max="4609" width="14.5703125" customWidth="1"/>
    <col min="4610" max="4610" width="24.7109375" customWidth="1"/>
    <col min="4865" max="4865" width="14.5703125" customWidth="1"/>
    <col min="4866" max="4866" width="24.7109375" customWidth="1"/>
    <col min="5121" max="5121" width="14.5703125" customWidth="1"/>
    <col min="5122" max="5122" width="24.7109375" customWidth="1"/>
    <col min="5377" max="5377" width="14.5703125" customWidth="1"/>
    <col min="5378" max="5378" width="24.7109375" customWidth="1"/>
    <col min="5633" max="5633" width="14.5703125" customWidth="1"/>
    <col min="5634" max="5634" width="24.7109375" customWidth="1"/>
    <col min="5889" max="5889" width="14.5703125" customWidth="1"/>
    <col min="5890" max="5890" width="24.7109375" customWidth="1"/>
    <col min="6145" max="6145" width="14.5703125" customWidth="1"/>
    <col min="6146" max="6146" width="24.7109375" customWidth="1"/>
    <col min="6401" max="6401" width="14.5703125" customWidth="1"/>
    <col min="6402" max="6402" width="24.7109375" customWidth="1"/>
    <col min="6657" max="6657" width="14.5703125" customWidth="1"/>
    <col min="6658" max="6658" width="24.7109375" customWidth="1"/>
    <col min="6913" max="6913" width="14.5703125" customWidth="1"/>
    <col min="6914" max="6914" width="24.7109375" customWidth="1"/>
    <col min="7169" max="7169" width="14.5703125" customWidth="1"/>
    <col min="7170" max="7170" width="24.7109375" customWidth="1"/>
    <col min="7425" max="7425" width="14.5703125" customWidth="1"/>
    <col min="7426" max="7426" width="24.7109375" customWidth="1"/>
    <col min="7681" max="7681" width="14.5703125" customWidth="1"/>
    <col min="7682" max="7682" width="24.7109375" customWidth="1"/>
    <col min="7937" max="7937" width="14.5703125" customWidth="1"/>
    <col min="7938" max="7938" width="24.7109375" customWidth="1"/>
    <col min="8193" max="8193" width="14.5703125" customWidth="1"/>
    <col min="8194" max="8194" width="24.7109375" customWidth="1"/>
    <col min="8449" max="8449" width="14.5703125" customWidth="1"/>
    <col min="8450" max="8450" width="24.7109375" customWidth="1"/>
    <col min="8705" max="8705" width="14.5703125" customWidth="1"/>
    <col min="8706" max="8706" width="24.7109375" customWidth="1"/>
    <col min="8961" max="8961" width="14.5703125" customWidth="1"/>
    <col min="8962" max="8962" width="24.7109375" customWidth="1"/>
    <col min="9217" max="9217" width="14.5703125" customWidth="1"/>
    <col min="9218" max="9218" width="24.7109375" customWidth="1"/>
    <col min="9473" max="9473" width="14.5703125" customWidth="1"/>
    <col min="9474" max="9474" width="24.7109375" customWidth="1"/>
    <col min="9729" max="9729" width="14.5703125" customWidth="1"/>
    <col min="9730" max="9730" width="24.7109375" customWidth="1"/>
    <col min="9985" max="9985" width="14.5703125" customWidth="1"/>
    <col min="9986" max="9986" width="24.7109375" customWidth="1"/>
    <col min="10241" max="10241" width="14.5703125" customWidth="1"/>
    <col min="10242" max="10242" width="24.7109375" customWidth="1"/>
    <col min="10497" max="10497" width="14.5703125" customWidth="1"/>
    <col min="10498" max="10498" width="24.7109375" customWidth="1"/>
    <col min="10753" max="10753" width="14.5703125" customWidth="1"/>
    <col min="10754" max="10754" width="24.7109375" customWidth="1"/>
    <col min="11009" max="11009" width="14.5703125" customWidth="1"/>
    <col min="11010" max="11010" width="24.7109375" customWidth="1"/>
    <col min="11265" max="11265" width="14.5703125" customWidth="1"/>
    <col min="11266" max="11266" width="24.7109375" customWidth="1"/>
    <col min="11521" max="11521" width="14.5703125" customWidth="1"/>
    <col min="11522" max="11522" width="24.7109375" customWidth="1"/>
    <col min="11777" max="11777" width="14.5703125" customWidth="1"/>
    <col min="11778" max="11778" width="24.7109375" customWidth="1"/>
    <col min="12033" max="12033" width="14.5703125" customWidth="1"/>
    <col min="12034" max="12034" width="24.7109375" customWidth="1"/>
    <col min="12289" max="12289" width="14.5703125" customWidth="1"/>
    <col min="12290" max="12290" width="24.7109375" customWidth="1"/>
    <col min="12545" max="12545" width="14.5703125" customWidth="1"/>
    <col min="12546" max="12546" width="24.7109375" customWidth="1"/>
    <col min="12801" max="12801" width="14.5703125" customWidth="1"/>
    <col min="12802" max="12802" width="24.7109375" customWidth="1"/>
    <col min="13057" max="13057" width="14.5703125" customWidth="1"/>
    <col min="13058" max="13058" width="24.7109375" customWidth="1"/>
    <col min="13313" max="13313" width="14.5703125" customWidth="1"/>
    <col min="13314" max="13314" width="24.7109375" customWidth="1"/>
    <col min="13569" max="13569" width="14.5703125" customWidth="1"/>
    <col min="13570" max="13570" width="24.7109375" customWidth="1"/>
    <col min="13825" max="13825" width="14.5703125" customWidth="1"/>
    <col min="13826" max="13826" width="24.7109375" customWidth="1"/>
    <col min="14081" max="14081" width="14.5703125" customWidth="1"/>
    <col min="14082" max="14082" width="24.7109375" customWidth="1"/>
    <col min="14337" max="14337" width="14.5703125" customWidth="1"/>
    <col min="14338" max="14338" width="24.7109375" customWidth="1"/>
    <col min="14593" max="14593" width="14.5703125" customWidth="1"/>
    <col min="14594" max="14594" width="24.7109375" customWidth="1"/>
    <col min="14849" max="14849" width="14.5703125" customWidth="1"/>
    <col min="14850" max="14850" width="24.7109375" customWidth="1"/>
    <col min="15105" max="15105" width="14.5703125" customWidth="1"/>
    <col min="15106" max="15106" width="24.7109375" customWidth="1"/>
    <col min="15361" max="15361" width="14.5703125" customWidth="1"/>
    <col min="15362" max="15362" width="24.7109375" customWidth="1"/>
    <col min="15617" max="15617" width="14.5703125" customWidth="1"/>
    <col min="15618" max="15618" width="24.7109375" customWidth="1"/>
    <col min="15873" max="15873" width="14.5703125" customWidth="1"/>
    <col min="15874" max="15874" width="24.7109375" customWidth="1"/>
    <col min="16129" max="16129" width="14.5703125" customWidth="1"/>
    <col min="16130" max="16130" width="24.7109375" customWidth="1"/>
  </cols>
  <sheetData>
    <row r="2" spans="1:4" x14ac:dyDescent="0.25">
      <c r="A2" t="s">
        <v>151</v>
      </c>
      <c r="B2" s="58">
        <v>150050000</v>
      </c>
    </row>
    <row r="4" spans="1:4" x14ac:dyDescent="0.25">
      <c r="A4" s="14">
        <v>40724</v>
      </c>
      <c r="B4" s="58">
        <f>(SUM(B7:B27))</f>
        <v>220000000</v>
      </c>
      <c r="C4" t="s">
        <v>160</v>
      </c>
      <c r="D4" s="5">
        <v>2.2499999999999999E-2</v>
      </c>
    </row>
    <row r="5" spans="1:4" ht="1.5" customHeight="1" x14ac:dyDescent="0.25">
      <c r="A5" s="14"/>
      <c r="D5" s="59"/>
    </row>
    <row r="6" spans="1:4" ht="45.75" customHeight="1" x14ac:dyDescent="0.25">
      <c r="A6" s="39" t="s">
        <v>161</v>
      </c>
      <c r="B6" s="60" t="s">
        <v>169</v>
      </c>
      <c r="D6" s="59"/>
    </row>
    <row r="7" spans="1:4" x14ac:dyDescent="0.25">
      <c r="A7" s="14">
        <v>40725</v>
      </c>
      <c r="B7" s="58">
        <v>0</v>
      </c>
    </row>
    <row r="8" spans="1:4" x14ac:dyDescent="0.25">
      <c r="A8" s="14">
        <v>41091</v>
      </c>
      <c r="B8" s="58">
        <v>11000000</v>
      </c>
    </row>
    <row r="9" spans="1:4" x14ac:dyDescent="0.25">
      <c r="A9" s="14">
        <v>41456</v>
      </c>
      <c r="B9" s="58">
        <v>11000000</v>
      </c>
    </row>
    <row r="10" spans="1:4" x14ac:dyDescent="0.25">
      <c r="A10" s="14">
        <v>41821</v>
      </c>
      <c r="B10" s="58">
        <v>11000000</v>
      </c>
    </row>
    <row r="11" spans="1:4" x14ac:dyDescent="0.25">
      <c r="A11" s="14">
        <v>42186</v>
      </c>
      <c r="B11" s="58">
        <v>11000000</v>
      </c>
    </row>
    <row r="12" spans="1:4" x14ac:dyDescent="0.25">
      <c r="A12" s="14">
        <v>42552</v>
      </c>
      <c r="B12" s="58">
        <v>11000000</v>
      </c>
    </row>
    <row r="13" spans="1:4" x14ac:dyDescent="0.25">
      <c r="A13" s="14">
        <v>42917</v>
      </c>
      <c r="B13" s="58">
        <v>11000000</v>
      </c>
    </row>
    <row r="14" spans="1:4" x14ac:dyDescent="0.25">
      <c r="A14" s="14">
        <v>43282</v>
      </c>
      <c r="B14" s="58">
        <v>11000000</v>
      </c>
    </row>
    <row r="15" spans="1:4" x14ac:dyDescent="0.25">
      <c r="A15" s="14">
        <v>43647</v>
      </c>
      <c r="B15" s="58">
        <v>11000000</v>
      </c>
    </row>
    <row r="16" spans="1:4" x14ac:dyDescent="0.25">
      <c r="A16" s="14">
        <v>44013</v>
      </c>
      <c r="B16" s="58">
        <v>11000000</v>
      </c>
    </row>
    <row r="17" spans="1:2" x14ac:dyDescent="0.25">
      <c r="A17" s="14">
        <v>44378</v>
      </c>
      <c r="B17" s="58">
        <v>11000000</v>
      </c>
    </row>
    <row r="18" spans="1:2" x14ac:dyDescent="0.25">
      <c r="A18" s="14">
        <v>44743</v>
      </c>
      <c r="B18" s="58">
        <v>11000000</v>
      </c>
    </row>
    <row r="19" spans="1:2" x14ac:dyDescent="0.25">
      <c r="A19" s="14">
        <v>45108</v>
      </c>
      <c r="B19" s="58">
        <v>11000000</v>
      </c>
    </row>
    <row r="20" spans="1:2" x14ac:dyDescent="0.25">
      <c r="A20" s="14">
        <v>45474</v>
      </c>
      <c r="B20" s="58">
        <v>11000000</v>
      </c>
    </row>
    <row r="21" spans="1:2" x14ac:dyDescent="0.25">
      <c r="A21" s="14">
        <v>45839</v>
      </c>
      <c r="B21" s="58">
        <v>11000000</v>
      </c>
    </row>
    <row r="22" spans="1:2" x14ac:dyDescent="0.25">
      <c r="A22" s="14">
        <v>46204</v>
      </c>
      <c r="B22" s="58">
        <v>11000000</v>
      </c>
    </row>
    <row r="23" spans="1:2" x14ac:dyDescent="0.25">
      <c r="A23" s="14">
        <v>46569</v>
      </c>
      <c r="B23" s="58">
        <v>11000000</v>
      </c>
    </row>
    <row r="24" spans="1:2" x14ac:dyDescent="0.25">
      <c r="A24" s="14">
        <v>46935</v>
      </c>
      <c r="B24" s="58">
        <v>11000000</v>
      </c>
    </row>
    <row r="25" spans="1:2" x14ac:dyDescent="0.25">
      <c r="A25" s="14">
        <v>47300</v>
      </c>
      <c r="B25" s="58">
        <v>11000000</v>
      </c>
    </row>
    <row r="26" spans="1:2" x14ac:dyDescent="0.25">
      <c r="A26" s="14">
        <v>47665</v>
      </c>
      <c r="B26" s="58">
        <v>11000000</v>
      </c>
    </row>
    <row r="27" spans="1:2" x14ac:dyDescent="0.25">
      <c r="A27" s="14">
        <v>48030</v>
      </c>
      <c r="B27" s="58">
        <v>11000000</v>
      </c>
    </row>
    <row r="28" spans="1:2" x14ac:dyDescent="0.25">
      <c r="A28" s="14">
        <v>48396</v>
      </c>
      <c r="B28" s="58">
        <v>11000000</v>
      </c>
    </row>
    <row r="29" spans="1:2" x14ac:dyDescent="0.25">
      <c r="A29" s="14">
        <v>48761</v>
      </c>
      <c r="B29" s="58">
        <v>11000000</v>
      </c>
    </row>
    <row r="30" spans="1:2" ht="30" x14ac:dyDescent="0.25">
      <c r="A30" s="24" t="s">
        <v>163</v>
      </c>
      <c r="B30" s="61">
        <f>NPV(D4,B7:B29)</f>
        <v>185072738.87905979</v>
      </c>
    </row>
    <row r="31" spans="1:2" ht="15" x14ac:dyDescent="0.25">
      <c r="B31"/>
    </row>
    <row r="32" spans="1:2" x14ac:dyDescent="0.25">
      <c r="A32" s="24" t="s">
        <v>164</v>
      </c>
      <c r="B32" s="61">
        <f>B30-B2</f>
        <v>35022738.879059792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39"/>
  <sheetViews>
    <sheetView topLeftCell="A16" workbookViewId="0">
      <selection activeCell="I19" sqref="I19"/>
    </sheetView>
  </sheetViews>
  <sheetFormatPr defaultRowHeight="15" x14ac:dyDescent="0.25"/>
  <cols>
    <col min="1" max="1" width="22.42578125" customWidth="1"/>
    <col min="2" max="2" width="16.7109375" customWidth="1"/>
    <col min="3" max="3" width="18.7109375" customWidth="1"/>
    <col min="4" max="5" width="14.42578125" customWidth="1"/>
    <col min="6" max="6" width="27" customWidth="1"/>
    <col min="7" max="7" width="14.28515625" customWidth="1"/>
    <col min="8" max="8" width="13.42578125" customWidth="1"/>
    <col min="9" max="9" width="16" customWidth="1"/>
    <col min="10" max="10" width="19.5703125" customWidth="1"/>
    <col min="11" max="11" width="20.140625" customWidth="1"/>
  </cols>
  <sheetData>
    <row r="2" spans="1:11" ht="15" customHeight="1" x14ac:dyDescent="0.25">
      <c r="A2" s="12"/>
      <c r="B2" s="72" t="s">
        <v>0</v>
      </c>
      <c r="C2" s="72"/>
      <c r="D2" s="72"/>
      <c r="E2" s="72"/>
      <c r="F2" s="72"/>
      <c r="G2" s="72"/>
      <c r="H2" s="72"/>
    </row>
    <row r="3" spans="1:11" ht="15" customHeight="1" x14ac:dyDescent="0.25">
      <c r="A3" s="12"/>
      <c r="B3" s="72"/>
      <c r="C3" s="72"/>
      <c r="D3" s="72"/>
      <c r="E3" s="72"/>
      <c r="F3" s="72"/>
      <c r="G3" s="72"/>
      <c r="H3" s="72"/>
      <c r="I3" s="12"/>
      <c r="J3" s="12"/>
      <c r="K3" s="12"/>
    </row>
    <row r="4" spans="1:11" ht="15" customHeight="1" x14ac:dyDescent="0.25">
      <c r="A4" s="12"/>
      <c r="B4" s="72"/>
      <c r="C4" s="72"/>
      <c r="D4" s="72"/>
      <c r="E4" s="72"/>
      <c r="F4" s="72"/>
      <c r="G4" s="72"/>
      <c r="H4" s="72"/>
      <c r="I4" s="12"/>
      <c r="J4" s="12"/>
      <c r="K4" s="12"/>
    </row>
    <row r="5" spans="1:11" ht="15" customHeight="1" x14ac:dyDescent="0.25">
      <c r="A5" s="12"/>
      <c r="B5" s="72"/>
      <c r="C5" s="72"/>
      <c r="D5" s="72"/>
      <c r="E5" s="72"/>
      <c r="F5" s="72"/>
      <c r="G5" s="72"/>
      <c r="H5" s="72"/>
      <c r="I5" s="12"/>
      <c r="J5" s="12"/>
      <c r="K5" s="12"/>
    </row>
    <row r="6" spans="1:11" ht="15" customHeight="1" x14ac:dyDescent="0.25">
      <c r="A6" s="17"/>
      <c r="B6" s="17"/>
      <c r="C6" s="17"/>
      <c r="D6" s="17"/>
      <c r="E6" s="17"/>
      <c r="F6" s="17"/>
      <c r="G6" s="17"/>
      <c r="H6" s="12"/>
      <c r="I6" s="12"/>
      <c r="J6" s="12"/>
      <c r="K6" s="12"/>
    </row>
    <row r="7" spans="1:11" ht="23.25" x14ac:dyDescent="0.35">
      <c r="A7" s="71" t="s">
        <v>5</v>
      </c>
      <c r="B7" s="71"/>
      <c r="C7" s="71"/>
      <c r="D7" s="71"/>
    </row>
    <row r="8" spans="1:11" ht="71.25" customHeight="1" thickBot="1" x14ac:dyDescent="0.3">
      <c r="A8" s="10" t="s">
        <v>86</v>
      </c>
      <c r="B8" s="10" t="s">
        <v>84</v>
      </c>
      <c r="C8" s="10" t="s">
        <v>6</v>
      </c>
      <c r="D8" s="10" t="s">
        <v>1</v>
      </c>
      <c r="E8" s="10" t="s">
        <v>2</v>
      </c>
      <c r="F8" s="10" t="s">
        <v>4</v>
      </c>
      <c r="G8" s="18" t="s">
        <v>94</v>
      </c>
      <c r="H8" s="18" t="s">
        <v>17</v>
      </c>
      <c r="I8" s="18" t="s">
        <v>18</v>
      </c>
    </row>
    <row r="9" spans="1:11" ht="30.75" thickTop="1" x14ac:dyDescent="0.25">
      <c r="A9" s="15">
        <v>37712</v>
      </c>
      <c r="B9" s="42">
        <v>3.8399999999999997E-2</v>
      </c>
      <c r="C9" s="36" t="s">
        <v>79</v>
      </c>
      <c r="D9" s="7">
        <v>463.5</v>
      </c>
      <c r="E9">
        <v>461.9</v>
      </c>
      <c r="F9" s="9">
        <f>D9-E9</f>
        <v>1.6000000000000227</v>
      </c>
      <c r="G9" s="15"/>
    </row>
    <row r="10" spans="1:11" x14ac:dyDescent="0.25">
      <c r="A10" s="15" t="s">
        <v>87</v>
      </c>
      <c r="D10" s="6"/>
      <c r="G10" s="15">
        <v>41852</v>
      </c>
      <c r="H10">
        <v>191.4</v>
      </c>
      <c r="I10" s="22" t="s">
        <v>19</v>
      </c>
    </row>
    <row r="11" spans="1:11" x14ac:dyDescent="0.25">
      <c r="A11" s="15" t="s">
        <v>88</v>
      </c>
      <c r="C11" t="s">
        <v>96</v>
      </c>
      <c r="D11" s="6"/>
      <c r="G11" s="4" t="s">
        <v>97</v>
      </c>
    </row>
    <row r="12" spans="1:11" x14ac:dyDescent="0.25">
      <c r="A12" s="15" t="s">
        <v>89</v>
      </c>
      <c r="B12" s="5">
        <v>4.0599999999999997E-2</v>
      </c>
      <c r="C12" s="1" t="s">
        <v>7</v>
      </c>
      <c r="D12" s="23">
        <v>315.10000000000002</v>
      </c>
      <c r="E12" s="8">
        <v>165</v>
      </c>
      <c r="F12" s="47">
        <f>D12-E12</f>
        <v>150.10000000000002</v>
      </c>
      <c r="G12" s="14">
        <v>44044</v>
      </c>
      <c r="H12" s="41">
        <v>99.6</v>
      </c>
      <c r="I12" s="4" t="s">
        <v>95</v>
      </c>
    </row>
    <row r="13" spans="1:11" ht="75" customHeight="1" x14ac:dyDescent="0.25">
      <c r="A13" s="15" t="s">
        <v>90</v>
      </c>
      <c r="B13" s="38" t="s">
        <v>85</v>
      </c>
      <c r="C13" s="24" t="s">
        <v>32</v>
      </c>
      <c r="D13" s="7">
        <v>397.2</v>
      </c>
      <c r="E13" s="8">
        <v>200</v>
      </c>
      <c r="F13" s="47">
        <f>D13-E13</f>
        <v>197.2</v>
      </c>
      <c r="G13" s="39" t="s">
        <v>91</v>
      </c>
      <c r="H13" s="4" t="s">
        <v>92</v>
      </c>
      <c r="I13" s="40" t="s">
        <v>93</v>
      </c>
    </row>
    <row r="14" spans="1:11" x14ac:dyDescent="0.25">
      <c r="D14" s="11" t="s">
        <v>80</v>
      </c>
      <c r="F14" s="6"/>
    </row>
    <row r="15" spans="1:11" x14ac:dyDescent="0.25">
      <c r="A15" s="11"/>
      <c r="B15" t="s">
        <v>135</v>
      </c>
      <c r="D15" s="9">
        <f>SUM(D9:D14)</f>
        <v>1175.8</v>
      </c>
      <c r="E15" s="9">
        <f>SUM(E9:E14)</f>
        <v>826.9</v>
      </c>
      <c r="F15" s="46">
        <f>SUM(F9:F14)</f>
        <v>348.90000000000003</v>
      </c>
      <c r="G15" s="9"/>
      <c r="H15" s="46">
        <f>SUM(H9:H14)</f>
        <v>291</v>
      </c>
    </row>
    <row r="16" spans="1:11" ht="23.25" x14ac:dyDescent="0.35">
      <c r="A16" s="71" t="s">
        <v>8</v>
      </c>
      <c r="B16" s="71"/>
      <c r="C16" s="71"/>
      <c r="D16" s="71"/>
      <c r="F16" s="6"/>
    </row>
    <row r="17" spans="1:9" ht="48.75" customHeight="1" thickBot="1" x14ac:dyDescent="0.3">
      <c r="A17" s="10" t="s">
        <v>9</v>
      </c>
      <c r="B17" s="10" t="s">
        <v>10</v>
      </c>
      <c r="C17" s="10" t="s">
        <v>15</v>
      </c>
      <c r="D17" s="10" t="s">
        <v>3</v>
      </c>
      <c r="E17" s="10" t="s">
        <v>11</v>
      </c>
      <c r="F17" s="10" t="s">
        <v>50</v>
      </c>
      <c r="G17" s="10" t="s">
        <v>74</v>
      </c>
      <c r="H17" s="10" t="s">
        <v>75</v>
      </c>
      <c r="I17" s="18" t="s">
        <v>18</v>
      </c>
    </row>
    <row r="18" spans="1:9" ht="42.75" customHeight="1" thickTop="1" x14ac:dyDescent="0.25">
      <c r="A18" s="19" t="s">
        <v>12</v>
      </c>
      <c r="B18" s="15">
        <v>37361</v>
      </c>
      <c r="C18" s="13">
        <v>16000</v>
      </c>
      <c r="D18" s="13">
        <v>9670</v>
      </c>
      <c r="E18" s="14">
        <v>42566</v>
      </c>
      <c r="F18" s="29" t="s">
        <v>72</v>
      </c>
      <c r="G18" s="14">
        <v>41470</v>
      </c>
      <c r="H18" s="35">
        <f>'Alaska Psychiatric'!B13</f>
        <v>5905000</v>
      </c>
      <c r="I18">
        <v>0</v>
      </c>
    </row>
    <row r="19" spans="1:9" ht="27.75" customHeight="1" x14ac:dyDescent="0.25">
      <c r="A19" s="19" t="s">
        <v>13</v>
      </c>
      <c r="B19" s="15">
        <v>37834</v>
      </c>
      <c r="C19" s="13">
        <v>14145</v>
      </c>
      <c r="D19" s="13">
        <v>9300</v>
      </c>
      <c r="E19" s="14">
        <v>43480</v>
      </c>
      <c r="F19" s="30" t="s">
        <v>69</v>
      </c>
      <c r="G19" s="14">
        <v>41654</v>
      </c>
      <c r="H19" s="35">
        <f>Seafood!B17</f>
        <v>6500000</v>
      </c>
      <c r="I19">
        <v>0</v>
      </c>
    </row>
    <row r="20" spans="1:9" x14ac:dyDescent="0.25">
      <c r="A20" s="20" t="s">
        <v>136</v>
      </c>
      <c r="B20" s="15">
        <v>38367</v>
      </c>
      <c r="C20" s="13">
        <v>25725</v>
      </c>
      <c r="D20" s="13">
        <v>7770</v>
      </c>
      <c r="E20" s="14">
        <v>41320</v>
      </c>
      <c r="F20" s="30" t="s">
        <v>68</v>
      </c>
      <c r="G20" t="s">
        <v>78</v>
      </c>
      <c r="H20" s="35"/>
    </row>
    <row r="21" spans="1:9" ht="30" x14ac:dyDescent="0.25">
      <c r="A21" s="21" t="s">
        <v>14</v>
      </c>
      <c r="B21" s="15">
        <v>38626</v>
      </c>
      <c r="C21" s="13">
        <v>24000</v>
      </c>
      <c r="D21" s="13">
        <v>18865</v>
      </c>
      <c r="E21" s="14">
        <v>44228</v>
      </c>
      <c r="F21" s="29" t="s">
        <v>64</v>
      </c>
      <c r="G21" s="14">
        <v>42401</v>
      </c>
      <c r="H21" s="35">
        <f>'State Virology Lab'!B20</f>
        <v>11325000</v>
      </c>
      <c r="I21">
        <v>0</v>
      </c>
    </row>
    <row r="22" spans="1:9" ht="15.75" thickBot="1" x14ac:dyDescent="0.3">
      <c r="A22" s="4" t="s">
        <v>16</v>
      </c>
      <c r="B22" s="14"/>
      <c r="C22" s="16">
        <f>SUM(C18:C21)</f>
        <v>79870</v>
      </c>
      <c r="D22" s="16">
        <f>SUM(D18:D21)</f>
        <v>45605</v>
      </c>
      <c r="F22" s="6"/>
      <c r="H22" s="37">
        <f>SUM(H18:H21)</f>
        <v>23730000</v>
      </c>
      <c r="I22">
        <f>SUM(I18:I21)</f>
        <v>0</v>
      </c>
    </row>
    <row r="23" spans="1:9" ht="24" thickTop="1" x14ac:dyDescent="0.35">
      <c r="A23" s="71" t="s">
        <v>134</v>
      </c>
      <c r="B23" s="71"/>
      <c r="C23" s="71"/>
      <c r="D23" s="71"/>
      <c r="F23" s="6"/>
    </row>
    <row r="24" spans="1:9" ht="60.75" thickBot="1" x14ac:dyDescent="0.3">
      <c r="C24" s="10" t="s">
        <v>15</v>
      </c>
      <c r="D24" s="10" t="s">
        <v>3</v>
      </c>
      <c r="E24" s="10" t="s">
        <v>11</v>
      </c>
      <c r="F24" s="10" t="s">
        <v>50</v>
      </c>
      <c r="G24" s="10" t="s">
        <v>74</v>
      </c>
      <c r="H24" s="10" t="s">
        <v>75</v>
      </c>
      <c r="I24" s="18" t="s">
        <v>18</v>
      </c>
    </row>
    <row r="25" spans="1:9" ht="30.75" thickTop="1" x14ac:dyDescent="0.25">
      <c r="A25" s="24" t="s">
        <v>20</v>
      </c>
      <c r="B25" s="14">
        <v>39805</v>
      </c>
      <c r="C25" s="35">
        <v>244285</v>
      </c>
      <c r="D25" s="35">
        <v>221400</v>
      </c>
      <c r="E25" s="14">
        <v>48458</v>
      </c>
      <c r="F25" s="30" t="s">
        <v>119</v>
      </c>
      <c r="G25" s="14">
        <v>43709</v>
      </c>
      <c r="H25" s="35">
        <f>'Goose Creek'!B34</f>
        <v>161190000</v>
      </c>
      <c r="I25" t="s">
        <v>121</v>
      </c>
    </row>
    <row r="26" spans="1:9" x14ac:dyDescent="0.25">
      <c r="F26" s="6"/>
    </row>
    <row r="27" spans="1:9" x14ac:dyDescent="0.25">
      <c r="A27" t="s">
        <v>131</v>
      </c>
      <c r="B27" s="14">
        <v>38456</v>
      </c>
      <c r="C27" s="35">
        <v>40835</v>
      </c>
      <c r="D27" s="35">
        <f>'Anchorage Jail'!B24/1000</f>
        <v>39750</v>
      </c>
      <c r="E27" s="14">
        <v>43862</v>
      </c>
      <c r="F27" s="30" t="s">
        <v>132</v>
      </c>
      <c r="G27" s="14">
        <v>42401</v>
      </c>
      <c r="H27" s="35">
        <f>'Anchorage Jail'!B22</f>
        <v>22335000</v>
      </c>
      <c r="I27" t="s">
        <v>133</v>
      </c>
    </row>
    <row r="28" spans="1:9" x14ac:dyDescent="0.25">
      <c r="F28" s="6"/>
    </row>
    <row r="29" spans="1:9" x14ac:dyDescent="0.25">
      <c r="B29" t="s">
        <v>135</v>
      </c>
      <c r="C29" s="35">
        <f>SUM(C25:C28)</f>
        <v>285120</v>
      </c>
      <c r="D29" s="35">
        <f>SUM(D25:D28)</f>
        <v>261150</v>
      </c>
      <c r="F29" s="6"/>
      <c r="H29" s="37">
        <f>SUM(H25:H28)</f>
        <v>183525000</v>
      </c>
    </row>
    <row r="30" spans="1:9" x14ac:dyDescent="0.25">
      <c r="F30" s="6"/>
    </row>
    <row r="31" spans="1:9" x14ac:dyDescent="0.25">
      <c r="C31" t="s">
        <v>21</v>
      </c>
    </row>
    <row r="32" spans="1:9" ht="23.25" x14ac:dyDescent="0.35">
      <c r="A32" s="71" t="s">
        <v>30</v>
      </c>
      <c r="B32" s="71"/>
      <c r="C32" s="71"/>
      <c r="D32" s="71"/>
    </row>
    <row r="33" spans="1:8" ht="44.25" customHeight="1" x14ac:dyDescent="0.25">
      <c r="A33" s="2" t="s">
        <v>22</v>
      </c>
      <c r="E33" s="3" t="s">
        <v>23</v>
      </c>
      <c r="F33" s="3" t="s">
        <v>24</v>
      </c>
      <c r="G33" s="3" t="s">
        <v>25</v>
      </c>
      <c r="H33" s="3" t="s">
        <v>122</v>
      </c>
    </row>
    <row r="35" spans="1:8" x14ac:dyDescent="0.25">
      <c r="A35" t="s">
        <v>26</v>
      </c>
      <c r="E35" s="23">
        <f>E9+E12+E13</f>
        <v>826.9</v>
      </c>
      <c r="F35" s="23">
        <v>313.89999999999998</v>
      </c>
      <c r="G35" s="23">
        <f>E35+F35</f>
        <v>1140.8</v>
      </c>
      <c r="H35" s="45">
        <f>H10+H12</f>
        <v>291</v>
      </c>
    </row>
    <row r="37" spans="1:8" ht="32.25" customHeight="1" x14ac:dyDescent="0.25">
      <c r="A37" s="2" t="s">
        <v>27</v>
      </c>
    </row>
    <row r="38" spans="1:8" x14ac:dyDescent="0.25">
      <c r="A38" t="s">
        <v>28</v>
      </c>
      <c r="E38">
        <v>45.6</v>
      </c>
      <c r="F38">
        <v>9.6</v>
      </c>
      <c r="G38" s="23">
        <f>E38+F38</f>
        <v>55.2</v>
      </c>
      <c r="H38">
        <f>H22/1000000</f>
        <v>23.73</v>
      </c>
    </row>
    <row r="39" spans="1:8" x14ac:dyDescent="0.25">
      <c r="A39" t="s">
        <v>29</v>
      </c>
      <c r="E39">
        <v>315.60000000000002</v>
      </c>
      <c r="F39" s="8">
        <v>203</v>
      </c>
      <c r="G39" s="23">
        <f>E39+F39</f>
        <v>518.6</v>
      </c>
    </row>
  </sheetData>
  <mergeCells count="5">
    <mergeCell ref="A32:D32"/>
    <mergeCell ref="A23:D23"/>
    <mergeCell ref="A16:D16"/>
    <mergeCell ref="B2:H5"/>
    <mergeCell ref="A7:D7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1" workbookViewId="0">
      <selection activeCell="B20" sqref="B20"/>
    </sheetView>
  </sheetViews>
  <sheetFormatPr defaultRowHeight="15" x14ac:dyDescent="0.25"/>
  <cols>
    <col min="1" max="1" width="22.5703125" customWidth="1"/>
    <col min="2" max="2" width="17.140625" customWidth="1"/>
    <col min="3" max="3" width="21" customWidth="1"/>
    <col min="4" max="4" width="20.5703125" customWidth="1"/>
    <col min="5" max="5" width="22.28515625" customWidth="1"/>
  </cols>
  <sheetData>
    <row r="1" spans="1:5" x14ac:dyDescent="0.25">
      <c r="A1" s="28">
        <v>200000000</v>
      </c>
    </row>
    <row r="2" spans="1:5" x14ac:dyDescent="0.25">
      <c r="A2" s="2" t="s">
        <v>33</v>
      </c>
    </row>
    <row r="3" spans="1:5" x14ac:dyDescent="0.25">
      <c r="A3" s="2" t="s">
        <v>34</v>
      </c>
    </row>
    <row r="4" spans="1:5" x14ac:dyDescent="0.25">
      <c r="A4" s="2" t="s">
        <v>45</v>
      </c>
    </row>
    <row r="5" spans="1:5" x14ac:dyDescent="0.25">
      <c r="A5" s="2"/>
    </row>
    <row r="6" spans="1:5" x14ac:dyDescent="0.25">
      <c r="A6" s="28">
        <v>119570000</v>
      </c>
    </row>
    <row r="7" spans="1:5" x14ac:dyDescent="0.25">
      <c r="A7" s="2" t="s">
        <v>35</v>
      </c>
    </row>
    <row r="8" spans="1:5" x14ac:dyDescent="0.25">
      <c r="A8" s="2" t="s">
        <v>36</v>
      </c>
    </row>
    <row r="9" spans="1:5" x14ac:dyDescent="0.25">
      <c r="A9" s="2" t="s">
        <v>37</v>
      </c>
    </row>
    <row r="10" spans="1:5" x14ac:dyDescent="0.25">
      <c r="A10" s="2" t="s">
        <v>38</v>
      </c>
    </row>
    <row r="12" spans="1:5" s="25" customFormat="1" ht="30" x14ac:dyDescent="0.25">
      <c r="A12" s="3" t="s">
        <v>39</v>
      </c>
      <c r="B12" s="3" t="s">
        <v>40</v>
      </c>
      <c r="C12" s="3" t="s">
        <v>41</v>
      </c>
      <c r="D12" s="3" t="s">
        <v>42</v>
      </c>
      <c r="E12" s="3" t="s">
        <v>43</v>
      </c>
    </row>
    <row r="13" spans="1:5" x14ac:dyDescent="0.25">
      <c r="A13">
        <v>2026</v>
      </c>
      <c r="B13" s="13">
        <v>4090000</v>
      </c>
      <c r="C13" s="27">
        <v>5.2420000000000001E-2</v>
      </c>
      <c r="D13" s="27">
        <v>5.2420000000000001E-2</v>
      </c>
      <c r="E13" s="27">
        <v>1</v>
      </c>
    </row>
    <row r="14" spans="1:5" x14ac:dyDescent="0.25">
      <c r="A14">
        <v>2027</v>
      </c>
      <c r="B14" s="13">
        <v>4235000</v>
      </c>
      <c r="C14" s="27">
        <v>5.3420000000000002E-2</v>
      </c>
      <c r="D14" s="27">
        <v>5.3420000000000002E-2</v>
      </c>
      <c r="E14" s="27">
        <v>1</v>
      </c>
    </row>
    <row r="15" spans="1:5" x14ac:dyDescent="0.25">
      <c r="A15">
        <v>2028</v>
      </c>
      <c r="B15" s="13">
        <v>4390000</v>
      </c>
      <c r="C15" s="27">
        <v>5.4420000000000003E-2</v>
      </c>
      <c r="D15" s="27">
        <v>5.4420000000000003E-2</v>
      </c>
      <c r="E15" s="27">
        <v>1</v>
      </c>
    </row>
    <row r="16" spans="1:5" x14ac:dyDescent="0.25">
      <c r="A16">
        <v>2029</v>
      </c>
      <c r="B16" s="13">
        <v>19825000</v>
      </c>
      <c r="C16" s="27">
        <v>5.5419999999999997E-2</v>
      </c>
      <c r="D16" s="27">
        <v>5.5419999999999997E-2</v>
      </c>
      <c r="E16" s="27">
        <v>1</v>
      </c>
    </row>
    <row r="17" spans="1:5" x14ac:dyDescent="0.25">
      <c r="A17">
        <v>2030</v>
      </c>
      <c r="B17" s="13">
        <v>20560000</v>
      </c>
      <c r="C17" s="27">
        <v>5.6419999999999998E-2</v>
      </c>
      <c r="D17" s="27">
        <v>5.6419999999999998E-2</v>
      </c>
      <c r="E17" s="27">
        <v>1</v>
      </c>
    </row>
    <row r="18" spans="1:5" x14ac:dyDescent="0.25">
      <c r="B18" s="13"/>
      <c r="C18" s="27"/>
      <c r="D18" s="27"/>
    </row>
    <row r="19" spans="1:5" x14ac:dyDescent="0.25">
      <c r="A19" s="4" t="s">
        <v>48</v>
      </c>
      <c r="B19" s="13">
        <v>66470000</v>
      </c>
      <c r="C19" s="27">
        <v>5.7419999999999999E-2</v>
      </c>
      <c r="D19" s="27">
        <v>5.7419999999999999E-2</v>
      </c>
      <c r="E19" s="27">
        <v>1</v>
      </c>
    </row>
    <row r="20" spans="1:5" x14ac:dyDescent="0.25">
      <c r="B20" s="13"/>
    </row>
    <row r="21" spans="1:5" x14ac:dyDescent="0.25">
      <c r="A21" s="2" t="s">
        <v>47</v>
      </c>
      <c r="B21" t="s">
        <v>83</v>
      </c>
    </row>
    <row r="23" spans="1:5" x14ac:dyDescent="0.25">
      <c r="A23" s="28">
        <v>45000000</v>
      </c>
    </row>
    <row r="24" spans="1:5" x14ac:dyDescent="0.25">
      <c r="A24" s="2" t="s">
        <v>44</v>
      </c>
    </row>
    <row r="25" spans="1:5" x14ac:dyDescent="0.25">
      <c r="A25" s="2" t="s">
        <v>46</v>
      </c>
    </row>
    <row r="26" spans="1:5" x14ac:dyDescent="0.25">
      <c r="A26" s="2" t="s">
        <v>37</v>
      </c>
    </row>
    <row r="27" spans="1:5" x14ac:dyDescent="0.25">
      <c r="A27" s="2" t="s">
        <v>38</v>
      </c>
    </row>
    <row r="29" spans="1:5" x14ac:dyDescent="0.25">
      <c r="A29" s="3" t="s">
        <v>39</v>
      </c>
      <c r="C29" s="3" t="s">
        <v>41</v>
      </c>
      <c r="D29" s="3" t="s">
        <v>42</v>
      </c>
      <c r="E29" s="3" t="s">
        <v>43</v>
      </c>
    </row>
    <row r="30" spans="1:5" ht="30" x14ac:dyDescent="0.25">
      <c r="A30">
        <v>2026</v>
      </c>
      <c r="B30" s="3" t="s">
        <v>40</v>
      </c>
      <c r="C30" s="27">
        <v>5.2420000000000001E-2</v>
      </c>
      <c r="D30" s="27">
        <v>5.2420000000000001E-2</v>
      </c>
      <c r="E30" s="27">
        <v>1</v>
      </c>
    </row>
    <row r="31" spans="1:5" x14ac:dyDescent="0.25">
      <c r="A31">
        <v>2027</v>
      </c>
      <c r="B31" s="13">
        <v>15000000</v>
      </c>
      <c r="C31" s="27">
        <v>5.3420000000000002E-2</v>
      </c>
      <c r="D31" s="27">
        <v>5.3420000000000002E-2</v>
      </c>
      <c r="E31" s="27">
        <v>1</v>
      </c>
    </row>
    <row r="32" spans="1:5" x14ac:dyDescent="0.25">
      <c r="A32">
        <v>2028</v>
      </c>
      <c r="B32" s="13">
        <v>15000000</v>
      </c>
      <c r="C32" s="27">
        <v>5.4420000000000003E-2</v>
      </c>
      <c r="D32" s="27">
        <v>5.4420000000000003E-2</v>
      </c>
      <c r="E32" s="27">
        <v>1</v>
      </c>
    </row>
    <row r="33" spans="1:5" x14ac:dyDescent="0.25">
      <c r="B33" s="13">
        <v>15000000</v>
      </c>
    </row>
    <row r="34" spans="1:5" x14ac:dyDescent="0.25">
      <c r="B34" t="s">
        <v>81</v>
      </c>
    </row>
    <row r="35" spans="1:5" x14ac:dyDescent="0.25">
      <c r="A35" s="28">
        <v>35430000</v>
      </c>
    </row>
    <row r="36" spans="1:5" x14ac:dyDescent="0.25">
      <c r="A36" s="2" t="s">
        <v>49</v>
      </c>
    </row>
    <row r="37" spans="1:5" x14ac:dyDescent="0.25">
      <c r="A37" s="2" t="s">
        <v>37</v>
      </c>
    </row>
    <row r="38" spans="1:5" x14ac:dyDescent="0.25">
      <c r="A38" s="2" t="s">
        <v>38</v>
      </c>
    </row>
    <row r="40" spans="1:5" x14ac:dyDescent="0.25">
      <c r="A40" s="3" t="s">
        <v>39</v>
      </c>
      <c r="C40" s="3" t="s">
        <v>41</v>
      </c>
      <c r="D40" s="3" t="s">
        <v>42</v>
      </c>
      <c r="E40" s="3" t="s">
        <v>43</v>
      </c>
    </row>
    <row r="41" spans="1:5" ht="30" x14ac:dyDescent="0.25">
      <c r="A41">
        <v>2011</v>
      </c>
      <c r="B41" s="3" t="s">
        <v>40</v>
      </c>
      <c r="C41" s="26">
        <v>0.05</v>
      </c>
      <c r="D41" s="26">
        <v>0.05</v>
      </c>
      <c r="E41" s="27">
        <v>1.0295099999999999</v>
      </c>
    </row>
    <row r="42" spans="1:5" x14ac:dyDescent="0.25">
      <c r="A42">
        <v>2012</v>
      </c>
      <c r="B42" s="13">
        <v>16870000</v>
      </c>
      <c r="C42" s="26">
        <v>0.05</v>
      </c>
      <c r="D42" s="26">
        <v>0.05</v>
      </c>
      <c r="E42" s="27">
        <v>1.07213</v>
      </c>
    </row>
    <row r="43" spans="1:5" x14ac:dyDescent="0.25">
      <c r="B43" s="13">
        <v>18560000</v>
      </c>
    </row>
    <row r="44" spans="1:5" x14ac:dyDescent="0.25">
      <c r="B44" t="s">
        <v>82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I29" sqref="I29"/>
    </sheetView>
  </sheetViews>
  <sheetFormatPr defaultRowHeight="15" x14ac:dyDescent="0.25"/>
  <cols>
    <col min="1" max="1" width="19.5703125" customWidth="1"/>
    <col min="2" max="2" width="21.85546875" customWidth="1"/>
    <col min="3" max="3" width="21.42578125" customWidth="1"/>
    <col min="5" max="5" width="13.28515625" bestFit="1" customWidth="1"/>
    <col min="6" max="6" width="10.5703125" bestFit="1" customWidth="1"/>
    <col min="8" max="9" width="10.5703125" bestFit="1" customWidth="1"/>
    <col min="11" max="11" width="11.140625" customWidth="1"/>
  </cols>
  <sheetData>
    <row r="1" spans="1:11" x14ac:dyDescent="0.25">
      <c r="A1" s="28">
        <v>16000000</v>
      </c>
    </row>
    <row r="2" spans="1:11" x14ac:dyDescent="0.25">
      <c r="A2" s="2" t="s">
        <v>51</v>
      </c>
    </row>
    <row r="3" spans="1:11" x14ac:dyDescent="0.25">
      <c r="A3" s="2" t="s">
        <v>52</v>
      </c>
    </row>
    <row r="4" spans="1:11" x14ac:dyDescent="0.25">
      <c r="A4" s="2" t="s">
        <v>53</v>
      </c>
    </row>
    <row r="5" spans="1:11" x14ac:dyDescent="0.25">
      <c r="A5" s="2" t="s">
        <v>159</v>
      </c>
    </row>
    <row r="6" spans="1:11" ht="46.5" customHeight="1" x14ac:dyDescent="0.25">
      <c r="A6" s="3" t="s">
        <v>54</v>
      </c>
      <c r="B6" s="3" t="s">
        <v>55</v>
      </c>
      <c r="C6" s="3" t="s">
        <v>56</v>
      </c>
    </row>
    <row r="7" spans="1:11" ht="15.75" x14ac:dyDescent="0.25">
      <c r="A7">
        <v>2011</v>
      </c>
      <c r="B7" s="13">
        <v>1255000</v>
      </c>
      <c r="C7" s="27">
        <v>4.4499999999999998E-2</v>
      </c>
      <c r="E7" s="51" t="s">
        <v>141</v>
      </c>
      <c r="F7" s="48"/>
      <c r="G7" s="48"/>
      <c r="H7" s="48"/>
      <c r="J7" t="s">
        <v>148</v>
      </c>
    </row>
    <row r="8" spans="1:11" x14ac:dyDescent="0.25">
      <c r="A8">
        <v>2012</v>
      </c>
      <c r="B8" s="13">
        <v>1310000</v>
      </c>
      <c r="C8" s="27">
        <v>4.5499999999999999E-2</v>
      </c>
      <c r="E8" s="48"/>
      <c r="F8" s="48"/>
      <c r="G8" s="48"/>
      <c r="H8" s="48"/>
      <c r="J8">
        <v>2012</v>
      </c>
      <c r="K8" s="35">
        <f>1656000-(1310000*0.05)-1310000</f>
        <v>280500</v>
      </c>
    </row>
    <row r="9" spans="1:11" x14ac:dyDescent="0.25">
      <c r="A9">
        <v>2013</v>
      </c>
      <c r="B9" s="13">
        <v>1370000</v>
      </c>
      <c r="C9" s="27">
        <v>4.5999999999999999E-2</v>
      </c>
      <c r="E9" s="48" t="s">
        <v>137</v>
      </c>
      <c r="F9" s="48"/>
      <c r="G9" s="48"/>
      <c r="H9" s="48"/>
      <c r="J9">
        <v>2013</v>
      </c>
      <c r="K9" s="35">
        <v>1650845</v>
      </c>
    </row>
    <row r="10" spans="1:11" x14ac:dyDescent="0.25">
      <c r="A10">
        <v>2014</v>
      </c>
      <c r="B10" s="13">
        <v>1440000</v>
      </c>
      <c r="C10" s="27">
        <v>4.7E-2</v>
      </c>
      <c r="E10" s="48"/>
      <c r="F10" s="48"/>
      <c r="G10" s="48"/>
      <c r="H10" s="48"/>
      <c r="J10">
        <v>2014</v>
      </c>
      <c r="K10" s="35">
        <v>1657000</v>
      </c>
    </row>
    <row r="11" spans="1:11" x14ac:dyDescent="0.25">
      <c r="A11">
        <v>2015</v>
      </c>
      <c r="B11" s="13">
        <v>1510000</v>
      </c>
      <c r="C11" s="27">
        <v>4.8000000000000001E-2</v>
      </c>
      <c r="E11" s="48" t="s">
        <v>138</v>
      </c>
      <c r="F11" s="48"/>
      <c r="G11" s="48"/>
      <c r="H11" s="49">
        <f>B13</f>
        <v>5905000</v>
      </c>
      <c r="J11">
        <v>2015</v>
      </c>
      <c r="K11" s="35">
        <v>1660145</v>
      </c>
    </row>
    <row r="12" spans="1:11" x14ac:dyDescent="0.25">
      <c r="A12">
        <v>2016</v>
      </c>
      <c r="B12" s="13">
        <v>1585000</v>
      </c>
      <c r="C12" s="27">
        <v>4.9000000000000002E-2</v>
      </c>
      <c r="E12" s="48" t="s">
        <v>139</v>
      </c>
      <c r="F12" s="48"/>
      <c r="G12" s="48"/>
      <c r="H12" s="50">
        <f>-(((H11*0.045)*1)-((H11*0.015)*1))</f>
        <v>-177150</v>
      </c>
      <c r="J12">
        <v>2016</v>
      </c>
      <c r="K12" s="35">
        <f>1647000+1711</f>
        <v>1648711</v>
      </c>
    </row>
    <row r="13" spans="1:11" x14ac:dyDescent="0.25">
      <c r="A13" t="s">
        <v>76</v>
      </c>
      <c r="B13" s="31">
        <f>SUM(B9:B12)</f>
        <v>5905000</v>
      </c>
      <c r="E13" s="48" t="s">
        <v>140</v>
      </c>
      <c r="F13" s="48"/>
      <c r="G13" s="48"/>
      <c r="H13" s="49">
        <f>-H12+H11</f>
        <v>6082150</v>
      </c>
      <c r="J13" t="s">
        <v>146</v>
      </c>
      <c r="K13" s="31">
        <f>SUM(K8:K12)</f>
        <v>6897201</v>
      </c>
    </row>
    <row r="14" spans="1:11" x14ac:dyDescent="0.25">
      <c r="E14" s="48"/>
      <c r="F14" s="48"/>
      <c r="G14" s="48"/>
      <c r="H14" s="48"/>
    </row>
    <row r="15" spans="1:11" x14ac:dyDescent="0.25">
      <c r="E15" s="48"/>
      <c r="F15" s="48"/>
      <c r="G15" s="48"/>
      <c r="H15" s="48"/>
    </row>
    <row r="16" spans="1:11" x14ac:dyDescent="0.25">
      <c r="E16" s="48" t="s">
        <v>142</v>
      </c>
      <c r="F16" s="48"/>
      <c r="G16" s="48"/>
      <c r="H16" s="48"/>
    </row>
    <row r="17" spans="5:8" x14ac:dyDescent="0.25">
      <c r="E17" s="48" t="s">
        <v>143</v>
      </c>
      <c r="F17" s="48"/>
      <c r="G17" s="48"/>
      <c r="H17" s="50">
        <f>((H11*0.045)*1)</f>
        <v>265725</v>
      </c>
    </row>
    <row r="18" spans="5:8" x14ac:dyDescent="0.25">
      <c r="E18" s="48" t="s">
        <v>144</v>
      </c>
      <c r="F18" s="48"/>
      <c r="G18" s="48"/>
      <c r="H18" s="49">
        <f>H11</f>
        <v>5905000</v>
      </c>
    </row>
    <row r="19" spans="5:8" x14ac:dyDescent="0.25">
      <c r="E19" s="48" t="s">
        <v>145</v>
      </c>
      <c r="F19" s="48"/>
      <c r="G19" s="48"/>
      <c r="H19" s="50">
        <v>726476</v>
      </c>
    </row>
    <row r="20" spans="5:8" x14ac:dyDescent="0.25">
      <c r="E20" s="48" t="s">
        <v>146</v>
      </c>
      <c r="F20" s="48"/>
      <c r="G20" s="48"/>
      <c r="H20" s="52">
        <f>SUM(H17:H19)</f>
        <v>6897201</v>
      </c>
    </row>
    <row r="21" spans="5:8" x14ac:dyDescent="0.25">
      <c r="E21" s="48" t="s">
        <v>147</v>
      </c>
      <c r="F21" s="48"/>
      <c r="G21" s="48"/>
      <c r="H21" s="52">
        <f>H20-H13</f>
        <v>815051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H20" sqref="H20"/>
    </sheetView>
  </sheetViews>
  <sheetFormatPr defaultRowHeight="15" x14ac:dyDescent="0.25"/>
  <cols>
    <col min="1" max="1" width="23.7109375" customWidth="1"/>
    <col min="2" max="2" width="29.28515625" customWidth="1"/>
    <col min="3" max="3" width="24" customWidth="1"/>
    <col min="5" max="5" width="13.28515625" bestFit="1" customWidth="1"/>
    <col min="6" max="6" width="13.85546875" customWidth="1"/>
    <col min="8" max="8" width="10.5703125" bestFit="1" customWidth="1"/>
    <col min="11" max="11" width="12" customWidth="1"/>
  </cols>
  <sheetData>
    <row r="1" spans="1:11" x14ac:dyDescent="0.25">
      <c r="A1" s="28">
        <v>14145000</v>
      </c>
    </row>
    <row r="2" spans="1:11" x14ac:dyDescent="0.25">
      <c r="A2" s="2" t="s">
        <v>57</v>
      </c>
    </row>
    <row r="3" spans="1:11" x14ac:dyDescent="0.25">
      <c r="A3" s="2" t="s">
        <v>70</v>
      </c>
    </row>
    <row r="4" spans="1:11" x14ac:dyDescent="0.25">
      <c r="A4" s="2" t="s">
        <v>71</v>
      </c>
    </row>
    <row r="5" spans="1:11" x14ac:dyDescent="0.25">
      <c r="A5" s="2" t="s">
        <v>31</v>
      </c>
    </row>
    <row r="6" spans="1:11" x14ac:dyDescent="0.25">
      <c r="A6" s="2" t="s">
        <v>158</v>
      </c>
    </row>
    <row r="7" spans="1:11" ht="15.75" x14ac:dyDescent="0.25">
      <c r="A7" s="3" t="s">
        <v>62</v>
      </c>
      <c r="B7" s="3" t="s">
        <v>63</v>
      </c>
      <c r="C7" s="3" t="s">
        <v>41</v>
      </c>
      <c r="E7" s="51" t="s">
        <v>141</v>
      </c>
      <c r="F7" s="48"/>
      <c r="G7" s="48"/>
      <c r="H7" s="48"/>
      <c r="J7" t="s">
        <v>148</v>
      </c>
    </row>
    <row r="8" spans="1:11" x14ac:dyDescent="0.25">
      <c r="A8">
        <v>2011</v>
      </c>
      <c r="B8" s="13">
        <v>905000</v>
      </c>
      <c r="C8" s="27">
        <v>3.7999999999999999E-2</v>
      </c>
      <c r="E8" s="48"/>
      <c r="F8" s="48"/>
      <c r="G8" s="48"/>
      <c r="H8" s="48"/>
      <c r="J8" s="4" t="s">
        <v>107</v>
      </c>
      <c r="K8" s="35">
        <f>1300000-(1895000*0.04)-935000</f>
        <v>289200</v>
      </c>
    </row>
    <row r="9" spans="1:11" x14ac:dyDescent="0.25">
      <c r="A9">
        <v>2012</v>
      </c>
      <c r="B9" s="13">
        <v>935000</v>
      </c>
      <c r="C9" s="27">
        <v>0.04</v>
      </c>
      <c r="E9" s="48" t="s">
        <v>137</v>
      </c>
      <c r="F9" s="48"/>
      <c r="G9" s="48"/>
      <c r="H9" s="48"/>
      <c r="J9" s="4" t="s">
        <v>108</v>
      </c>
      <c r="K9" s="35">
        <f>1300000-(960000*0.04)-960000</f>
        <v>301600</v>
      </c>
    </row>
    <row r="10" spans="1:11" x14ac:dyDescent="0.25">
      <c r="A10">
        <v>2013</v>
      </c>
      <c r="B10" s="13">
        <v>960000</v>
      </c>
      <c r="C10" s="27">
        <v>4.1000000000000002E-2</v>
      </c>
      <c r="E10" s="48"/>
      <c r="F10" s="48"/>
      <c r="G10" s="48"/>
      <c r="H10" s="48"/>
      <c r="J10" s="4" t="s">
        <v>109</v>
      </c>
      <c r="K10" s="35">
        <v>1283000</v>
      </c>
    </row>
    <row r="11" spans="1:11" x14ac:dyDescent="0.25">
      <c r="A11">
        <v>2014</v>
      </c>
      <c r="B11" s="13">
        <v>990000</v>
      </c>
      <c r="C11" s="27">
        <v>4.2500000000000003E-2</v>
      </c>
      <c r="E11" s="48" t="s">
        <v>138</v>
      </c>
      <c r="F11" s="48"/>
      <c r="G11" s="48"/>
      <c r="H11" s="49">
        <f>B17</f>
        <v>6500000</v>
      </c>
      <c r="J11" s="4" t="s">
        <v>110</v>
      </c>
      <c r="K11" s="35">
        <v>1276000</v>
      </c>
    </row>
    <row r="12" spans="1:11" x14ac:dyDescent="0.25">
      <c r="A12">
        <v>2015</v>
      </c>
      <c r="B12" s="13">
        <v>1025000</v>
      </c>
      <c r="C12" s="27">
        <v>4.3749999999999997E-2</v>
      </c>
      <c r="E12" s="48" t="s">
        <v>139</v>
      </c>
      <c r="F12" s="48"/>
      <c r="G12" s="48"/>
      <c r="H12" s="50">
        <f>-(((H11*0.04)*2)-((H11*0.015)*2))</f>
        <v>-325000</v>
      </c>
      <c r="J12" s="4" t="s">
        <v>111</v>
      </c>
      <c r="K12" s="35">
        <v>1266000</v>
      </c>
    </row>
    <row r="13" spans="1:11" x14ac:dyDescent="0.25">
      <c r="A13">
        <v>2016</v>
      </c>
      <c r="B13" s="13">
        <v>1060000</v>
      </c>
      <c r="C13" s="27">
        <v>4.4999999999999998E-2</v>
      </c>
      <c r="E13" s="48" t="s">
        <v>140</v>
      </c>
      <c r="F13" s="48"/>
      <c r="G13" s="48"/>
      <c r="H13" s="49">
        <f>-H12+H11</f>
        <v>6825000</v>
      </c>
      <c r="J13" s="4" t="s">
        <v>112</v>
      </c>
      <c r="K13" s="35">
        <v>1258512</v>
      </c>
    </row>
    <row r="14" spans="1:11" x14ac:dyDescent="0.25">
      <c r="A14">
        <v>2017</v>
      </c>
      <c r="B14" s="13">
        <v>1100000</v>
      </c>
      <c r="C14" s="27">
        <v>4.4999999999999998E-2</v>
      </c>
      <c r="E14" s="48"/>
      <c r="F14" s="48"/>
      <c r="G14" s="48"/>
      <c r="H14" s="48"/>
      <c r="J14" s="4" t="s">
        <v>113</v>
      </c>
      <c r="K14" s="35">
        <v>1249000</v>
      </c>
    </row>
    <row r="15" spans="1:11" x14ac:dyDescent="0.25">
      <c r="A15">
        <v>2018</v>
      </c>
      <c r="B15" s="13">
        <v>1140000</v>
      </c>
      <c r="C15" s="27">
        <v>4.6249999999999999E-2</v>
      </c>
      <c r="E15" s="48"/>
      <c r="F15" s="48"/>
      <c r="G15" s="48"/>
      <c r="H15" s="48"/>
      <c r="J15">
        <v>2019</v>
      </c>
      <c r="K15" s="35">
        <v>1241000</v>
      </c>
    </row>
    <row r="16" spans="1:11" x14ac:dyDescent="0.25">
      <c r="A16">
        <v>2019</v>
      </c>
      <c r="B16" s="13">
        <v>1185000</v>
      </c>
      <c r="C16" s="27">
        <v>4.7500000000000001E-2</v>
      </c>
      <c r="E16" s="48" t="s">
        <v>142</v>
      </c>
      <c r="F16" s="48"/>
      <c r="G16" s="48"/>
      <c r="H16" s="48"/>
      <c r="J16" t="s">
        <v>146</v>
      </c>
      <c r="K16" s="31">
        <f>SUM(K8:K15)</f>
        <v>8164312</v>
      </c>
    </row>
    <row r="17" spans="1:8" x14ac:dyDescent="0.25">
      <c r="A17" t="s">
        <v>77</v>
      </c>
      <c r="B17" s="31">
        <f>SUM(B11:B16)</f>
        <v>6500000</v>
      </c>
      <c r="C17" s="31">
        <f>SUM(B9:B10)</f>
        <v>1895000</v>
      </c>
      <c r="E17" s="48" t="s">
        <v>143</v>
      </c>
      <c r="F17" s="48"/>
      <c r="G17" s="48"/>
      <c r="H17" s="50">
        <v>883234</v>
      </c>
    </row>
    <row r="18" spans="1:8" x14ac:dyDescent="0.25">
      <c r="C18" s="31">
        <f>SUM(B10)</f>
        <v>960000</v>
      </c>
      <c r="E18" s="48" t="s">
        <v>144</v>
      </c>
      <c r="F18" s="48"/>
      <c r="G18" s="48"/>
      <c r="H18" s="49">
        <f>H11</f>
        <v>6500000</v>
      </c>
    </row>
    <row r="19" spans="1:8" x14ac:dyDescent="0.25">
      <c r="E19" s="48" t="s">
        <v>145</v>
      </c>
      <c r="F19" s="48"/>
      <c r="G19" s="48"/>
      <c r="H19" s="50">
        <v>781078</v>
      </c>
    </row>
    <row r="20" spans="1:8" x14ac:dyDescent="0.25">
      <c r="E20" s="48" t="s">
        <v>146</v>
      </c>
      <c r="F20" s="48"/>
      <c r="G20" s="48"/>
      <c r="H20" s="52">
        <f>SUM(H17:H19)</f>
        <v>8164312</v>
      </c>
    </row>
    <row r="21" spans="1:8" x14ac:dyDescent="0.25">
      <c r="E21" s="48" t="s">
        <v>147</v>
      </c>
      <c r="F21" s="48"/>
      <c r="G21" s="48"/>
      <c r="H21" s="52">
        <f>H20-H13</f>
        <v>1339312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E11" sqref="E11"/>
    </sheetView>
  </sheetViews>
  <sheetFormatPr defaultRowHeight="15" x14ac:dyDescent="0.25"/>
  <cols>
    <col min="1" max="1" width="27.5703125" customWidth="1"/>
    <col min="2" max="2" width="15.140625" customWidth="1"/>
    <col min="3" max="3" width="17.28515625" customWidth="1"/>
    <col min="5" max="5" width="13.28515625" bestFit="1" customWidth="1"/>
    <col min="6" max="6" width="10.5703125" bestFit="1" customWidth="1"/>
  </cols>
  <sheetData>
    <row r="1" spans="1:6" x14ac:dyDescent="0.25">
      <c r="A1" s="28">
        <v>25725000</v>
      </c>
    </row>
    <row r="2" spans="1:6" x14ac:dyDescent="0.25">
      <c r="A2" s="2" t="s">
        <v>57</v>
      </c>
    </row>
    <row r="3" spans="1:6" x14ac:dyDescent="0.25">
      <c r="A3" s="2" t="s">
        <v>65</v>
      </c>
    </row>
    <row r="4" spans="1:6" x14ac:dyDescent="0.25">
      <c r="A4" s="2" t="s">
        <v>66</v>
      </c>
    </row>
    <row r="5" spans="1:6" x14ac:dyDescent="0.25">
      <c r="A5" s="2" t="s">
        <v>67</v>
      </c>
    </row>
    <row r="7" spans="1:6" ht="30" x14ac:dyDescent="0.25">
      <c r="A7" s="3" t="s">
        <v>62</v>
      </c>
      <c r="B7" s="3" t="s">
        <v>63</v>
      </c>
      <c r="C7" s="3" t="s">
        <v>41</v>
      </c>
    </row>
    <row r="8" spans="1:6" x14ac:dyDescent="0.25">
      <c r="A8">
        <v>2011</v>
      </c>
      <c r="B8" s="13">
        <v>2500000</v>
      </c>
      <c r="C8" s="27">
        <v>0.03</v>
      </c>
      <c r="E8" s="32">
        <f>SUM(C8:C10)</f>
        <v>0.12000000000000001</v>
      </c>
      <c r="F8" s="31">
        <f>SUM(B8:B10)</f>
        <v>7770000</v>
      </c>
    </row>
    <row r="9" spans="1:6" x14ac:dyDescent="0.25">
      <c r="A9">
        <v>2012</v>
      </c>
      <c r="B9" s="13">
        <v>2580000</v>
      </c>
      <c r="C9" s="27">
        <v>0.04</v>
      </c>
      <c r="E9">
        <f>SUMPRODUCT(B8:B10,C8:C10)</f>
        <v>312700</v>
      </c>
      <c r="F9">
        <f>SUMPRODUCT(C8:C10,B8:B10)</f>
        <v>312700</v>
      </c>
    </row>
    <row r="10" spans="1:6" x14ac:dyDescent="0.25">
      <c r="A10">
        <v>2013</v>
      </c>
      <c r="B10" s="13">
        <v>2690000</v>
      </c>
      <c r="C10" s="27">
        <v>0.05</v>
      </c>
    </row>
    <row r="11" spans="1:6" x14ac:dyDescent="0.25">
      <c r="E11" s="2" t="s">
        <v>73</v>
      </c>
    </row>
    <row r="12" spans="1:6" x14ac:dyDescent="0.25">
      <c r="E12" s="33">
        <f>E9/E8</f>
        <v>2605833.333333333</v>
      </c>
      <c r="F12" s="34">
        <f>F9/F8</f>
        <v>4.0244530244530244E-2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22" sqref="K22"/>
    </sheetView>
  </sheetViews>
  <sheetFormatPr defaultRowHeight="15" x14ac:dyDescent="0.25"/>
  <cols>
    <col min="1" max="1" width="17.85546875" customWidth="1"/>
    <col min="2" max="2" width="16.140625" customWidth="1"/>
    <col min="3" max="3" width="18.42578125" customWidth="1"/>
    <col min="5" max="5" width="13.28515625" bestFit="1" customWidth="1"/>
    <col min="6" max="6" width="11.5703125" bestFit="1" customWidth="1"/>
    <col min="8" max="8" width="11.5703125" bestFit="1" customWidth="1"/>
    <col min="9" max="9" width="3.7109375" customWidth="1"/>
    <col min="10" max="10" width="12.85546875" customWidth="1"/>
    <col min="11" max="11" width="13.5703125" bestFit="1" customWidth="1"/>
  </cols>
  <sheetData>
    <row r="1" spans="1:11" x14ac:dyDescent="0.25">
      <c r="A1" s="28">
        <v>24000000</v>
      </c>
    </row>
    <row r="2" spans="1:11" x14ac:dyDescent="0.25">
      <c r="A2" s="2" t="s">
        <v>57</v>
      </c>
    </row>
    <row r="3" spans="1:11" x14ac:dyDescent="0.25">
      <c r="A3" s="2" t="s">
        <v>58</v>
      </c>
    </row>
    <row r="4" spans="1:11" x14ac:dyDescent="0.25">
      <c r="A4" s="2" t="s">
        <v>59</v>
      </c>
    </row>
    <row r="5" spans="1:11" x14ac:dyDescent="0.25">
      <c r="A5" s="2" t="s">
        <v>60</v>
      </c>
    </row>
    <row r="6" spans="1:11" x14ac:dyDescent="0.25">
      <c r="A6" s="2" t="s">
        <v>61</v>
      </c>
    </row>
    <row r="7" spans="1:11" x14ac:dyDescent="0.25">
      <c r="A7" s="2" t="s">
        <v>157</v>
      </c>
    </row>
    <row r="8" spans="1:11" ht="30" x14ac:dyDescent="0.25">
      <c r="A8" s="3" t="s">
        <v>62</v>
      </c>
      <c r="B8" s="3" t="s">
        <v>63</v>
      </c>
      <c r="C8" s="3" t="s">
        <v>41</v>
      </c>
    </row>
    <row r="9" spans="1:11" ht="15.75" x14ac:dyDescent="0.25">
      <c r="A9">
        <v>2011</v>
      </c>
      <c r="B9" s="13">
        <v>1400000</v>
      </c>
      <c r="C9" s="27">
        <v>0.05</v>
      </c>
      <c r="E9" s="51" t="s">
        <v>141</v>
      </c>
      <c r="F9" s="48"/>
      <c r="G9" s="48"/>
      <c r="H9" s="48"/>
      <c r="J9" t="s">
        <v>148</v>
      </c>
    </row>
    <row r="10" spans="1:11" x14ac:dyDescent="0.25">
      <c r="A10">
        <v>2012</v>
      </c>
      <c r="B10" s="13">
        <v>1445000</v>
      </c>
      <c r="C10" s="27">
        <v>0.05</v>
      </c>
      <c r="E10" s="48"/>
      <c r="F10" s="48"/>
      <c r="G10" s="48"/>
      <c r="H10" s="48"/>
      <c r="J10">
        <v>2012</v>
      </c>
      <c r="K10" s="35">
        <f>2225000-(6140000*0.05)-1445000</f>
        <v>473000</v>
      </c>
    </row>
    <row r="11" spans="1:11" x14ac:dyDescent="0.25">
      <c r="A11">
        <v>2013</v>
      </c>
      <c r="B11" s="13">
        <v>1505000</v>
      </c>
      <c r="C11" s="27">
        <v>0.05</v>
      </c>
      <c r="E11" s="48" t="s">
        <v>137</v>
      </c>
      <c r="F11" s="48"/>
      <c r="G11" s="48"/>
      <c r="H11" s="48"/>
      <c r="J11">
        <v>2013</v>
      </c>
      <c r="K11" s="35">
        <f>2225000-(4695000*0.05)-1505000</f>
        <v>485250</v>
      </c>
    </row>
    <row r="12" spans="1:11" x14ac:dyDescent="0.25">
      <c r="A12">
        <v>2014</v>
      </c>
      <c r="B12" s="13">
        <v>1565000</v>
      </c>
      <c r="C12" s="27">
        <v>0.05</v>
      </c>
      <c r="E12" s="48"/>
      <c r="F12" s="48"/>
      <c r="G12" s="48"/>
      <c r="H12" s="48"/>
      <c r="J12">
        <v>2014</v>
      </c>
      <c r="K12" s="35">
        <f>2225000-(3190000*0.05)-1565000</f>
        <v>500500</v>
      </c>
    </row>
    <row r="13" spans="1:11" x14ac:dyDescent="0.25">
      <c r="A13">
        <v>2015</v>
      </c>
      <c r="B13" s="13">
        <v>1625000</v>
      </c>
      <c r="C13" s="27">
        <v>0.05</v>
      </c>
      <c r="E13" s="48" t="s">
        <v>138</v>
      </c>
      <c r="F13" s="48"/>
      <c r="G13" s="48"/>
      <c r="H13" s="49">
        <f>B20</f>
        <v>11325000</v>
      </c>
      <c r="J13">
        <v>2015</v>
      </c>
      <c r="K13" s="35">
        <f>2225000-(1625000*0.05)-1625000</f>
        <v>518750</v>
      </c>
    </row>
    <row r="14" spans="1:11" x14ac:dyDescent="0.25">
      <c r="A14">
        <v>2016</v>
      </c>
      <c r="B14" s="13">
        <v>1695000</v>
      </c>
      <c r="C14" s="27">
        <v>0.04</v>
      </c>
      <c r="E14" s="48" t="s">
        <v>139</v>
      </c>
      <c r="F14" s="48"/>
      <c r="G14" s="48"/>
      <c r="H14" s="50">
        <f>-(((H13*0.04)*4)-((H13*0.015)*4))</f>
        <v>-1132500</v>
      </c>
      <c r="J14">
        <v>2016</v>
      </c>
      <c r="K14" s="35">
        <v>2158162</v>
      </c>
    </row>
    <row r="15" spans="1:11" x14ac:dyDescent="0.25">
      <c r="A15">
        <v>2017</v>
      </c>
      <c r="B15" s="13">
        <v>1760000</v>
      </c>
      <c r="C15" s="27">
        <v>0.04</v>
      </c>
      <c r="E15" s="48" t="s">
        <v>140</v>
      </c>
      <c r="F15" s="48"/>
      <c r="G15" s="48"/>
      <c r="H15" s="49">
        <f>-H14+H13</f>
        <v>12457500</v>
      </c>
      <c r="J15">
        <v>2017</v>
      </c>
      <c r="K15" s="35">
        <v>2155362</v>
      </c>
    </row>
    <row r="16" spans="1:11" x14ac:dyDescent="0.25">
      <c r="A16">
        <v>2018</v>
      </c>
      <c r="B16" s="13">
        <v>1840000</v>
      </c>
      <c r="C16" s="27">
        <v>0.04</v>
      </c>
      <c r="E16" s="48"/>
      <c r="F16" s="48"/>
      <c r="G16" s="48"/>
      <c r="H16" s="48"/>
      <c r="J16">
        <v>2018</v>
      </c>
      <c r="K16" s="35">
        <v>2164962</v>
      </c>
    </row>
    <row r="17" spans="1:11" x14ac:dyDescent="0.25">
      <c r="A17">
        <v>2019</v>
      </c>
      <c r="B17" s="13">
        <v>1920000</v>
      </c>
      <c r="C17" s="27">
        <v>4.1250000000000002E-2</v>
      </c>
      <c r="E17" s="48"/>
      <c r="F17" s="48"/>
      <c r="G17" s="48"/>
      <c r="H17" s="48"/>
      <c r="J17">
        <v>2019</v>
      </c>
      <c r="K17" s="35">
        <v>2171362</v>
      </c>
    </row>
    <row r="18" spans="1:11" x14ac:dyDescent="0.25">
      <c r="A18">
        <v>2020</v>
      </c>
      <c r="B18" s="13">
        <v>2010000</v>
      </c>
      <c r="C18" s="27">
        <v>4.1250000000000002E-2</v>
      </c>
      <c r="E18" s="48" t="s">
        <v>142</v>
      </c>
      <c r="F18" s="48"/>
      <c r="G18" s="48"/>
      <c r="H18" s="48"/>
      <c r="J18">
        <v>2020</v>
      </c>
      <c r="K18" s="35">
        <v>2182162</v>
      </c>
    </row>
    <row r="19" spans="1:11" x14ac:dyDescent="0.25">
      <c r="A19">
        <v>2021</v>
      </c>
      <c r="B19" s="13">
        <v>2100000</v>
      </c>
      <c r="C19" s="27">
        <v>4.2500000000000003E-2</v>
      </c>
      <c r="E19" s="48" t="s">
        <v>143</v>
      </c>
      <c r="F19" s="48"/>
      <c r="G19" s="48"/>
      <c r="H19" s="50">
        <f>((H13*0.04)*4)+628660</f>
        <v>2440660</v>
      </c>
      <c r="J19">
        <v>2021</v>
      </c>
      <c r="K19" s="31">
        <v>2189250</v>
      </c>
    </row>
    <row r="20" spans="1:11" x14ac:dyDescent="0.25">
      <c r="A20" t="s">
        <v>77</v>
      </c>
      <c r="B20" s="31">
        <f>SUM(B14:B19)</f>
        <v>11325000</v>
      </c>
      <c r="C20" s="31">
        <f>SUM(B10:B13)</f>
        <v>6140000</v>
      </c>
      <c r="E20" s="48" t="s">
        <v>144</v>
      </c>
      <c r="F20" s="48"/>
      <c r="G20" s="48"/>
      <c r="H20" s="49">
        <f>H13</f>
        <v>11325000</v>
      </c>
      <c r="J20" t="s">
        <v>146</v>
      </c>
      <c r="K20" s="35">
        <f>SUM(K10:K19)</f>
        <v>14998760</v>
      </c>
    </row>
    <row r="21" spans="1:11" x14ac:dyDescent="0.25">
      <c r="C21" s="31">
        <f>SUM(B11:B13)</f>
        <v>4695000</v>
      </c>
      <c r="E21" s="48" t="s">
        <v>145</v>
      </c>
      <c r="F21" s="48"/>
      <c r="G21" s="48"/>
      <c r="H21" s="50">
        <v>1233100</v>
      </c>
    </row>
    <row r="22" spans="1:11" x14ac:dyDescent="0.25">
      <c r="C22" s="31">
        <f>SUM(B12:B13)</f>
        <v>3190000</v>
      </c>
      <c r="E22" s="48" t="s">
        <v>146</v>
      </c>
      <c r="F22" s="48"/>
      <c r="G22" s="48"/>
      <c r="H22" s="52">
        <f>SUM(H19:H21)</f>
        <v>14998760</v>
      </c>
    </row>
    <row r="23" spans="1:11" x14ac:dyDescent="0.25">
      <c r="C23" s="31">
        <f>SUM(B13)</f>
        <v>1625000</v>
      </c>
      <c r="E23" s="48" t="s">
        <v>147</v>
      </c>
      <c r="F23" s="48"/>
      <c r="G23" s="48"/>
      <c r="H23" s="52">
        <f>H22-H15</f>
        <v>2541260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5" workbookViewId="0">
      <selection activeCell="A12" sqref="A12:A32"/>
    </sheetView>
  </sheetViews>
  <sheetFormatPr defaultRowHeight="15" x14ac:dyDescent="0.25"/>
  <cols>
    <col min="1" max="1" width="17.85546875" customWidth="1"/>
    <col min="2" max="3" width="16.140625" customWidth="1"/>
    <col min="4" max="4" width="18.42578125" customWidth="1"/>
    <col min="5" max="5" width="11.5703125" bestFit="1" customWidth="1"/>
    <col min="6" max="6" width="13.28515625" bestFit="1" customWidth="1"/>
    <col min="7" max="7" width="11.5703125" bestFit="1" customWidth="1"/>
    <col min="9" max="9" width="12.42578125" customWidth="1"/>
    <col min="12" max="13" width="12.5703125" bestFit="1" customWidth="1"/>
  </cols>
  <sheetData>
    <row r="1" spans="1:12" x14ac:dyDescent="0.25">
      <c r="A1" s="28">
        <v>244285000</v>
      </c>
    </row>
    <row r="2" spans="1:12" x14ac:dyDescent="0.25">
      <c r="A2" s="2" t="s">
        <v>98</v>
      </c>
    </row>
    <row r="3" spans="1:12" x14ac:dyDescent="0.25">
      <c r="A3" s="2" t="s">
        <v>20</v>
      </c>
    </row>
    <row r="4" spans="1:12" x14ac:dyDescent="0.25">
      <c r="A4" s="2" t="s">
        <v>99</v>
      </c>
    </row>
    <row r="5" spans="1:12" x14ac:dyDescent="0.25">
      <c r="A5" s="2" t="s">
        <v>100</v>
      </c>
    </row>
    <row r="6" spans="1:12" x14ac:dyDescent="0.25">
      <c r="A6" s="2" t="s">
        <v>101</v>
      </c>
    </row>
    <row r="7" spans="1:12" x14ac:dyDescent="0.25">
      <c r="A7" s="2" t="s">
        <v>114</v>
      </c>
    </row>
    <row r="8" spans="1:12" x14ac:dyDescent="0.25">
      <c r="A8" s="2" t="s">
        <v>116</v>
      </c>
    </row>
    <row r="9" spans="1:12" x14ac:dyDescent="0.25">
      <c r="A9" s="2" t="s">
        <v>115</v>
      </c>
    </row>
    <row r="10" spans="1:12" ht="30" x14ac:dyDescent="0.25">
      <c r="A10" s="3" t="s">
        <v>62</v>
      </c>
      <c r="B10" s="3" t="s">
        <v>63</v>
      </c>
      <c r="C10" s="3" t="s">
        <v>117</v>
      </c>
      <c r="D10" s="3" t="s">
        <v>41</v>
      </c>
      <c r="F10" s="51" t="s">
        <v>141</v>
      </c>
      <c r="G10" s="48"/>
      <c r="H10" s="48"/>
      <c r="I10" s="48"/>
      <c r="K10" t="s">
        <v>148</v>
      </c>
    </row>
    <row r="11" spans="1:12" x14ac:dyDescent="0.25">
      <c r="A11" s="4" t="s">
        <v>106</v>
      </c>
      <c r="B11" s="13">
        <f>3475000+2000000</f>
        <v>5475000</v>
      </c>
      <c r="C11" s="13"/>
      <c r="D11" s="43" t="s">
        <v>102</v>
      </c>
      <c r="F11" s="48"/>
      <c r="G11" s="48"/>
      <c r="H11" s="48"/>
      <c r="I11" s="48"/>
      <c r="K11" s="4" t="s">
        <v>107</v>
      </c>
      <c r="L11" s="35">
        <f>17815000-(64136250*0.045)-5475000</f>
        <v>9453868.75</v>
      </c>
    </row>
    <row r="12" spans="1:12" x14ac:dyDescent="0.25">
      <c r="A12" s="4" t="s">
        <v>107</v>
      </c>
      <c r="B12" s="13">
        <f>3080000+2650000</f>
        <v>5730000</v>
      </c>
      <c r="C12" s="13"/>
      <c r="D12" s="43">
        <v>1.2500000000000001E-2</v>
      </c>
      <c r="F12" s="48" t="s">
        <v>137</v>
      </c>
      <c r="G12" s="48"/>
      <c r="H12" s="48"/>
      <c r="I12" s="48"/>
      <c r="K12" s="4" t="s">
        <v>108</v>
      </c>
      <c r="L12" s="35">
        <f>17815000-(58406250*0.045)-5730000</f>
        <v>9456718.75</v>
      </c>
    </row>
    <row r="13" spans="1:12" x14ac:dyDescent="0.25">
      <c r="A13" s="4" t="s">
        <v>108</v>
      </c>
      <c r="B13" s="13">
        <f>4000000+2000000</f>
        <v>6000000</v>
      </c>
      <c r="C13" s="13"/>
      <c r="D13" s="43">
        <v>1.2500000000000001E-2</v>
      </c>
      <c r="F13" s="48"/>
      <c r="G13" s="48"/>
      <c r="H13" s="48"/>
      <c r="I13" s="48"/>
      <c r="K13" s="4" t="s">
        <v>109</v>
      </c>
      <c r="L13" s="35">
        <f>17815000-(52406250*0.045)-6000000</f>
        <v>9456718.75</v>
      </c>
    </row>
    <row r="14" spans="1:12" x14ac:dyDescent="0.25">
      <c r="A14" s="4" t="s">
        <v>109</v>
      </c>
      <c r="B14" s="13">
        <f>4285000+2000000</f>
        <v>6285000</v>
      </c>
      <c r="C14" s="13"/>
      <c r="D14" s="43">
        <v>1.2500000000000001E-2</v>
      </c>
      <c r="F14" s="48" t="s">
        <v>138</v>
      </c>
      <c r="G14" s="48"/>
      <c r="H14" s="48"/>
      <c r="I14" s="49">
        <f>B34</f>
        <v>161190000</v>
      </c>
      <c r="K14" s="4" t="s">
        <v>110</v>
      </c>
      <c r="L14" s="35">
        <f>17815000-(46121250*0.045)-6285000</f>
        <v>9454543.75</v>
      </c>
    </row>
    <row r="15" spans="1:12" x14ac:dyDescent="0.25">
      <c r="A15" s="4" t="s">
        <v>110</v>
      </c>
      <c r="B15" s="13">
        <f>6195000+400000</f>
        <v>6595000</v>
      </c>
      <c r="C15" s="13"/>
      <c r="D15" s="43" t="s">
        <v>103</v>
      </c>
      <c r="F15" s="48" t="s">
        <v>139</v>
      </c>
      <c r="G15" s="48"/>
      <c r="H15" s="48"/>
      <c r="I15" s="50">
        <f>-(((I14*0.06)*8)-((I14*0.02)*8))</f>
        <v>-51580800</v>
      </c>
      <c r="K15" s="4" t="s">
        <v>111</v>
      </c>
      <c r="L15" s="35">
        <f>17815000-(39526250*0.045)-6595000</f>
        <v>9441318.75</v>
      </c>
    </row>
    <row r="16" spans="1:12" x14ac:dyDescent="0.25">
      <c r="A16" s="4" t="s">
        <v>111</v>
      </c>
      <c r="B16" s="13">
        <f>5940000+1000000</f>
        <v>6940000</v>
      </c>
      <c r="C16" s="13"/>
      <c r="D16" s="43" t="s">
        <v>104</v>
      </c>
      <c r="F16" s="48" t="s">
        <v>140</v>
      </c>
      <c r="G16" s="48"/>
      <c r="H16" s="48"/>
      <c r="I16" s="49">
        <f>-I15+I14</f>
        <v>212770800</v>
      </c>
      <c r="K16" s="4" t="s">
        <v>112</v>
      </c>
      <c r="L16" s="35">
        <f>17815000-(32586250*0.045)-6940000</f>
        <v>9408618.75</v>
      </c>
    </row>
    <row r="17" spans="1:12" x14ac:dyDescent="0.25">
      <c r="A17" s="4" t="s">
        <v>112</v>
      </c>
      <c r="B17" s="13">
        <f>5315000+2000000</f>
        <v>7315000</v>
      </c>
      <c r="C17" s="13"/>
      <c r="D17" s="43" t="s">
        <v>105</v>
      </c>
      <c r="F17" s="48"/>
      <c r="G17" s="48"/>
      <c r="H17" s="48"/>
      <c r="I17" s="48"/>
      <c r="K17" s="4" t="s">
        <v>113</v>
      </c>
      <c r="L17" s="35">
        <f>17815000-(25271250*0.045)-7315000</f>
        <v>9362793.75</v>
      </c>
    </row>
    <row r="18" spans="1:12" x14ac:dyDescent="0.25">
      <c r="A18" s="4" t="s">
        <v>113</v>
      </c>
      <c r="B18" s="13">
        <f>5715000+2000000</f>
        <v>7715000</v>
      </c>
      <c r="C18" s="13"/>
      <c r="D18" s="43" t="s">
        <v>105</v>
      </c>
      <c r="F18" s="48"/>
      <c r="G18" s="48"/>
      <c r="H18" s="48"/>
      <c r="I18" s="48"/>
      <c r="K18">
        <v>2019</v>
      </c>
      <c r="L18" s="35">
        <f>17815000-(17556250*0.045)-7715000</f>
        <v>9309968.75</v>
      </c>
    </row>
    <row r="19" spans="1:12" x14ac:dyDescent="0.25">
      <c r="A19">
        <v>2019</v>
      </c>
      <c r="B19" s="13">
        <f>8125000</f>
        <v>8125000</v>
      </c>
      <c r="C19" s="13"/>
      <c r="D19" s="27">
        <v>0.05</v>
      </c>
      <c r="F19" s="48" t="s">
        <v>142</v>
      </c>
      <c r="G19" s="48"/>
      <c r="H19" s="48"/>
      <c r="I19" s="48"/>
      <c r="K19">
        <v>2020</v>
      </c>
      <c r="L19" s="35">
        <f>17815000-(9431250*0.045)</f>
        <v>17390593.75</v>
      </c>
    </row>
    <row r="20" spans="1:12" x14ac:dyDescent="0.25">
      <c r="A20">
        <v>2020</v>
      </c>
      <c r="B20" s="44"/>
      <c r="C20" s="44">
        <v>9431250</v>
      </c>
      <c r="D20" s="27">
        <v>5.5E-2</v>
      </c>
      <c r="F20" s="48" t="s">
        <v>143</v>
      </c>
      <c r="G20" s="48"/>
      <c r="H20" s="48"/>
      <c r="I20" s="50">
        <f>(I14*0.06)*8</f>
        <v>77371200</v>
      </c>
      <c r="K20">
        <v>2021</v>
      </c>
      <c r="L20" s="35">
        <v>17815000</v>
      </c>
    </row>
    <row r="21" spans="1:12" x14ac:dyDescent="0.25">
      <c r="A21">
        <v>2021</v>
      </c>
      <c r="B21" s="44"/>
      <c r="C21" s="44">
        <v>9431250</v>
      </c>
      <c r="D21" s="27">
        <v>5.5E-2</v>
      </c>
      <c r="F21" s="48" t="s">
        <v>144</v>
      </c>
      <c r="G21" s="48"/>
      <c r="H21" s="48"/>
      <c r="I21" s="49">
        <f>I14</f>
        <v>161190000</v>
      </c>
      <c r="K21">
        <f>K20+1</f>
        <v>2022</v>
      </c>
      <c r="L21" s="35">
        <v>17815000</v>
      </c>
    </row>
    <row r="22" spans="1:12" x14ac:dyDescent="0.25">
      <c r="A22">
        <f>A21+1</f>
        <v>2022</v>
      </c>
      <c r="B22" s="35"/>
      <c r="C22" s="44">
        <v>9431250</v>
      </c>
      <c r="D22" s="27">
        <v>5.5E-2</v>
      </c>
      <c r="F22" s="48" t="s">
        <v>145</v>
      </c>
      <c r="G22" s="48"/>
      <c r="H22" s="48"/>
      <c r="I22" s="50">
        <v>67955450</v>
      </c>
      <c r="K22">
        <f t="shared" ref="K22:K31" si="0">K21+1</f>
        <v>2023</v>
      </c>
      <c r="L22" s="35">
        <v>17815000</v>
      </c>
    </row>
    <row r="23" spans="1:12" x14ac:dyDescent="0.25">
      <c r="A23">
        <f t="shared" ref="A23:A32" si="1">A22+1</f>
        <v>2023</v>
      </c>
      <c r="B23" s="35">
        <v>37275000</v>
      </c>
      <c r="C23" s="44">
        <v>9431250</v>
      </c>
      <c r="D23" s="27">
        <v>5.5E-2</v>
      </c>
      <c r="F23" s="48" t="s">
        <v>146</v>
      </c>
      <c r="G23" s="48"/>
      <c r="H23" s="48"/>
      <c r="I23" s="52">
        <f>SUM(I20:I22)</f>
        <v>306516650</v>
      </c>
      <c r="K23">
        <f t="shared" si="0"/>
        <v>2024</v>
      </c>
      <c r="L23" s="35">
        <v>17815000</v>
      </c>
    </row>
    <row r="24" spans="1:12" x14ac:dyDescent="0.25">
      <c r="A24">
        <f t="shared" si="1"/>
        <v>2024</v>
      </c>
      <c r="B24" s="35"/>
      <c r="C24" s="35">
        <v>12109000</v>
      </c>
      <c r="D24" s="27">
        <v>0.06</v>
      </c>
      <c r="F24" s="48" t="s">
        <v>147</v>
      </c>
      <c r="G24" s="48"/>
      <c r="H24" s="48"/>
      <c r="I24" s="52">
        <f>I23-I16</f>
        <v>93745850</v>
      </c>
      <c r="K24">
        <f t="shared" si="0"/>
        <v>2025</v>
      </c>
      <c r="L24" s="35">
        <v>17815000</v>
      </c>
    </row>
    <row r="25" spans="1:12" x14ac:dyDescent="0.25">
      <c r="A25">
        <f t="shared" si="1"/>
        <v>2025</v>
      </c>
      <c r="B25" s="35"/>
      <c r="C25" s="35">
        <v>12109000</v>
      </c>
      <c r="D25" s="27">
        <v>0.06</v>
      </c>
      <c r="K25">
        <f t="shared" si="0"/>
        <v>2026</v>
      </c>
      <c r="L25" s="35">
        <v>17815000</v>
      </c>
    </row>
    <row r="26" spans="1:12" x14ac:dyDescent="0.25">
      <c r="A26">
        <f t="shared" si="1"/>
        <v>2026</v>
      </c>
      <c r="B26" s="35"/>
      <c r="C26" s="35">
        <v>12109000</v>
      </c>
      <c r="D26" s="27">
        <v>0.06</v>
      </c>
      <c r="K26">
        <f t="shared" si="0"/>
        <v>2027</v>
      </c>
      <c r="L26" s="35">
        <v>17815000</v>
      </c>
    </row>
    <row r="27" spans="1:12" x14ac:dyDescent="0.25">
      <c r="A27">
        <f t="shared" si="1"/>
        <v>2027</v>
      </c>
      <c r="B27" s="35"/>
      <c r="C27" s="35">
        <v>12109000</v>
      </c>
      <c r="D27" s="27">
        <v>0.06</v>
      </c>
      <c r="K27">
        <f>K26+1</f>
        <v>2028</v>
      </c>
      <c r="L27" s="35">
        <v>17815000</v>
      </c>
    </row>
    <row r="28" spans="1:12" x14ac:dyDescent="0.25">
      <c r="A28">
        <f>A27+1</f>
        <v>2028</v>
      </c>
      <c r="B28" s="35">
        <v>60545000</v>
      </c>
      <c r="C28" s="35">
        <v>12109000</v>
      </c>
      <c r="D28" s="27">
        <v>0.06</v>
      </c>
      <c r="K28">
        <f t="shared" si="0"/>
        <v>2029</v>
      </c>
      <c r="L28" s="35">
        <v>17815000</v>
      </c>
    </row>
    <row r="29" spans="1:12" x14ac:dyDescent="0.25">
      <c r="A29">
        <f t="shared" si="1"/>
        <v>2029</v>
      </c>
      <c r="B29" s="35"/>
      <c r="C29" s="35">
        <v>15842500</v>
      </c>
      <c r="D29" s="27">
        <v>0.06</v>
      </c>
      <c r="K29">
        <f t="shared" si="0"/>
        <v>2030</v>
      </c>
      <c r="L29" s="35">
        <v>17815000</v>
      </c>
    </row>
    <row r="30" spans="1:12" x14ac:dyDescent="0.25">
      <c r="A30">
        <f t="shared" si="1"/>
        <v>2030</v>
      </c>
      <c r="B30" s="35"/>
      <c r="C30" s="35">
        <v>15842500</v>
      </c>
      <c r="D30" s="27">
        <v>0.06</v>
      </c>
      <c r="K30">
        <f t="shared" si="0"/>
        <v>2031</v>
      </c>
      <c r="L30" s="35">
        <v>17815000</v>
      </c>
    </row>
    <row r="31" spans="1:12" x14ac:dyDescent="0.25">
      <c r="A31">
        <f t="shared" si="1"/>
        <v>2031</v>
      </c>
      <c r="B31" s="35"/>
      <c r="C31" s="35">
        <v>15842500</v>
      </c>
      <c r="D31" s="27">
        <v>0.06</v>
      </c>
      <c r="K31">
        <f t="shared" si="0"/>
        <v>2032</v>
      </c>
      <c r="L31" s="35">
        <f>17816000+706</f>
        <v>17816706</v>
      </c>
    </row>
    <row r="32" spans="1:12" x14ac:dyDescent="0.25">
      <c r="A32">
        <f t="shared" si="1"/>
        <v>2032</v>
      </c>
      <c r="B32" s="35">
        <v>63370000</v>
      </c>
      <c r="C32" s="35">
        <v>15842500</v>
      </c>
      <c r="D32" s="27">
        <v>0.06</v>
      </c>
      <c r="J32" t="s">
        <v>146</v>
      </c>
      <c r="L32" s="31">
        <f>SUM(L11:L31)</f>
        <v>306516849.75</v>
      </c>
    </row>
    <row r="34" spans="1:5" x14ac:dyDescent="0.25">
      <c r="A34" t="s">
        <v>118</v>
      </c>
      <c r="B34" s="31">
        <f>SUM(B20:B32)</f>
        <v>161190000</v>
      </c>
      <c r="C34" s="31">
        <f>SUM(B12:B19)</f>
        <v>54705000</v>
      </c>
      <c r="D34" s="44">
        <v>9431250</v>
      </c>
      <c r="E34" s="31">
        <f>C34+D34</f>
        <v>64136250</v>
      </c>
    </row>
    <row r="35" spans="1:5" x14ac:dyDescent="0.25">
      <c r="C35" s="31">
        <f t="shared" ref="C35:C36" si="2">SUM(B13:B20)</f>
        <v>48975000</v>
      </c>
      <c r="D35" s="44">
        <v>9431250</v>
      </c>
      <c r="E35" s="31">
        <f t="shared" ref="E35:E41" si="3">C35+D35</f>
        <v>58406250</v>
      </c>
    </row>
    <row r="36" spans="1:5" x14ac:dyDescent="0.25">
      <c r="A36" t="s">
        <v>120</v>
      </c>
      <c r="B36" s="31">
        <f>SUM(B11:B32)</f>
        <v>221370000</v>
      </c>
      <c r="C36" s="31">
        <f t="shared" si="2"/>
        <v>42975000</v>
      </c>
      <c r="D36" s="44">
        <v>9431250</v>
      </c>
      <c r="E36" s="31">
        <f t="shared" si="3"/>
        <v>52406250</v>
      </c>
    </row>
    <row r="37" spans="1:5" x14ac:dyDescent="0.25">
      <c r="C37" s="31">
        <f>SUM(B15:B19)</f>
        <v>36690000</v>
      </c>
      <c r="D37" s="44">
        <v>9431250</v>
      </c>
      <c r="E37" s="31">
        <f t="shared" si="3"/>
        <v>46121250</v>
      </c>
    </row>
    <row r="38" spans="1:5" x14ac:dyDescent="0.25">
      <c r="C38" s="31">
        <f t="shared" ref="C38:C40" si="4">SUM(B16:B20)</f>
        <v>30095000</v>
      </c>
      <c r="D38" s="44">
        <v>9431250</v>
      </c>
      <c r="E38" s="31">
        <f t="shared" si="3"/>
        <v>39526250</v>
      </c>
    </row>
    <row r="39" spans="1:5" x14ac:dyDescent="0.25">
      <c r="C39" s="31">
        <f t="shared" si="4"/>
        <v>23155000</v>
      </c>
      <c r="D39" s="44">
        <v>9431250</v>
      </c>
      <c r="E39" s="31">
        <f t="shared" si="3"/>
        <v>32586250</v>
      </c>
    </row>
    <row r="40" spans="1:5" x14ac:dyDescent="0.25">
      <c r="C40" s="31">
        <f t="shared" si="4"/>
        <v>15840000</v>
      </c>
      <c r="D40" s="44">
        <v>9431250</v>
      </c>
      <c r="E40" s="31">
        <f t="shared" si="3"/>
        <v>25271250</v>
      </c>
    </row>
    <row r="41" spans="1:5" x14ac:dyDescent="0.25">
      <c r="C41" s="31">
        <f>SUM(B19)</f>
        <v>8125000</v>
      </c>
      <c r="D41" s="44">
        <v>9431250</v>
      </c>
      <c r="E41" s="31">
        <f t="shared" si="3"/>
        <v>17556250</v>
      </c>
    </row>
    <row r="42" spans="1:5" x14ac:dyDescent="0.25">
      <c r="C42" s="31">
        <f>SUM(B20)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F10" sqref="F10:L24"/>
    </sheetView>
  </sheetViews>
  <sheetFormatPr defaultRowHeight="15" x14ac:dyDescent="0.25"/>
  <cols>
    <col min="1" max="1" width="17.85546875" customWidth="1"/>
    <col min="2" max="3" width="16.140625" customWidth="1"/>
    <col min="4" max="4" width="18.42578125" customWidth="1"/>
    <col min="6" max="6" width="13.28515625" bestFit="1" customWidth="1"/>
    <col min="7" max="7" width="11.5703125" bestFit="1" customWidth="1"/>
    <col min="9" max="9" width="12.42578125" customWidth="1"/>
    <col min="10" max="10" width="5.140625" customWidth="1"/>
    <col min="11" max="11" width="12.42578125" customWidth="1"/>
    <col min="12" max="12" width="12.5703125" bestFit="1" customWidth="1"/>
  </cols>
  <sheetData>
    <row r="1" spans="1:12" x14ac:dyDescent="0.25">
      <c r="A1" s="28">
        <v>60440000</v>
      </c>
    </row>
    <row r="2" spans="1:12" x14ac:dyDescent="0.25">
      <c r="A2" s="2" t="s">
        <v>124</v>
      </c>
    </row>
    <row r="3" spans="1:12" x14ac:dyDescent="0.25">
      <c r="A3" s="2" t="s">
        <v>123</v>
      </c>
    </row>
    <row r="4" spans="1:12" x14ac:dyDescent="0.25">
      <c r="A4" s="2" t="s">
        <v>99</v>
      </c>
    </row>
    <row r="5" spans="1:12" x14ac:dyDescent="0.25">
      <c r="A5" s="2" t="s">
        <v>125</v>
      </c>
    </row>
    <row r="6" spans="1:12" x14ac:dyDescent="0.25">
      <c r="A6" s="2" t="s">
        <v>61</v>
      </c>
    </row>
    <row r="7" spans="1:12" x14ac:dyDescent="0.25">
      <c r="A7" s="2" t="s">
        <v>114</v>
      </c>
    </row>
    <row r="8" spans="1:12" x14ac:dyDescent="0.25">
      <c r="A8" s="2"/>
    </row>
    <row r="9" spans="1:12" x14ac:dyDescent="0.25">
      <c r="A9" s="2" t="s">
        <v>126</v>
      </c>
    </row>
    <row r="10" spans="1:12" ht="30" x14ac:dyDescent="0.25">
      <c r="A10" s="3" t="s">
        <v>62</v>
      </c>
      <c r="B10" s="3" t="s">
        <v>63</v>
      </c>
      <c r="C10" s="3" t="s">
        <v>128</v>
      </c>
      <c r="F10" s="51" t="s">
        <v>141</v>
      </c>
      <c r="G10" s="48"/>
      <c r="H10" s="48"/>
      <c r="I10" s="48"/>
      <c r="K10" t="s">
        <v>148</v>
      </c>
    </row>
    <row r="11" spans="1:12" x14ac:dyDescent="0.25">
      <c r="A11" s="4" t="s">
        <v>106</v>
      </c>
      <c r="B11" s="13">
        <f>1330000+1820000</f>
        <v>3150000</v>
      </c>
      <c r="C11" s="43" t="s">
        <v>102</v>
      </c>
      <c r="E11" s="32"/>
      <c r="F11" s="48"/>
      <c r="G11" s="48"/>
      <c r="H11" s="48"/>
      <c r="I11" s="48"/>
      <c r="K11" s="4" t="s">
        <v>107</v>
      </c>
      <c r="L11" s="35">
        <f>5105000-(14265000*0.05)-3300000</f>
        <v>1091750</v>
      </c>
    </row>
    <row r="12" spans="1:12" x14ac:dyDescent="0.25">
      <c r="A12" s="4">
        <v>2012</v>
      </c>
      <c r="B12" s="13">
        <v>3300000</v>
      </c>
      <c r="C12" s="43">
        <v>0.05</v>
      </c>
      <c r="F12" s="48" t="s">
        <v>137</v>
      </c>
      <c r="G12" s="48"/>
      <c r="H12" s="48"/>
      <c r="I12" s="48"/>
      <c r="K12" s="4" t="s">
        <v>108</v>
      </c>
      <c r="L12" s="35">
        <f>5105000-(10965000*0.05)-3470000</f>
        <v>1086750</v>
      </c>
    </row>
    <row r="13" spans="1:12" x14ac:dyDescent="0.25">
      <c r="A13" s="4">
        <v>2013</v>
      </c>
      <c r="B13" s="13">
        <v>3470000</v>
      </c>
      <c r="C13" s="43">
        <v>0.05</v>
      </c>
      <c r="E13" s="2"/>
      <c r="F13" s="48"/>
      <c r="G13" s="48"/>
      <c r="H13" s="48"/>
      <c r="I13" s="48"/>
      <c r="K13" s="4" t="s">
        <v>109</v>
      </c>
      <c r="L13" s="35">
        <f>5105000-(7495000*0.05)-3655000</f>
        <v>1075250</v>
      </c>
    </row>
    <row r="14" spans="1:12" x14ac:dyDescent="0.25">
      <c r="A14" s="4">
        <v>2014</v>
      </c>
      <c r="B14" s="13">
        <v>3655000</v>
      </c>
      <c r="C14" s="43">
        <v>0.05</v>
      </c>
      <c r="E14" s="33"/>
      <c r="F14" s="48" t="s">
        <v>138</v>
      </c>
      <c r="G14" s="48"/>
      <c r="H14" s="48"/>
      <c r="I14" s="49">
        <f>B22</f>
        <v>22335000</v>
      </c>
      <c r="K14" s="4" t="s">
        <v>110</v>
      </c>
      <c r="L14" s="35">
        <f>5105000-(3840000*0.05)-3840000</f>
        <v>1073000</v>
      </c>
    </row>
    <row r="15" spans="1:12" x14ac:dyDescent="0.25">
      <c r="A15" s="4" t="s">
        <v>110</v>
      </c>
      <c r="B15" s="13">
        <f>710000+3130000</f>
        <v>3840000</v>
      </c>
      <c r="C15" s="43" t="s">
        <v>129</v>
      </c>
      <c r="F15" s="48" t="s">
        <v>139</v>
      </c>
      <c r="G15" s="48"/>
      <c r="H15" s="48"/>
      <c r="I15" s="50">
        <f>-(((I14*0.045)*4)-((I14*0.015)*4))</f>
        <v>-2680200</v>
      </c>
      <c r="K15" s="4" t="s">
        <v>111</v>
      </c>
      <c r="L15" s="35">
        <v>5145275</v>
      </c>
    </row>
    <row r="16" spans="1:12" x14ac:dyDescent="0.25">
      <c r="A16" s="4">
        <v>2016</v>
      </c>
      <c r="B16" s="13">
        <v>4035000</v>
      </c>
      <c r="C16" s="43">
        <v>0.05</v>
      </c>
      <c r="F16" s="48" t="s">
        <v>140</v>
      </c>
      <c r="G16" s="48"/>
      <c r="H16" s="48"/>
      <c r="I16" s="49">
        <f>-I15+I14</f>
        <v>25015200</v>
      </c>
      <c r="K16" s="4" t="s">
        <v>112</v>
      </c>
      <c r="L16" s="35">
        <v>5143525</v>
      </c>
    </row>
    <row r="17" spans="1:12" x14ac:dyDescent="0.25">
      <c r="A17" s="4" t="s">
        <v>112</v>
      </c>
      <c r="B17" s="13">
        <f>160000+4075000</f>
        <v>4235000</v>
      </c>
      <c r="C17" s="43" t="s">
        <v>129</v>
      </c>
      <c r="F17" s="48"/>
      <c r="G17" s="48"/>
      <c r="H17" s="48"/>
      <c r="I17" s="48"/>
      <c r="K17" s="4" t="s">
        <v>113</v>
      </c>
      <c r="L17" s="35">
        <v>5153375</v>
      </c>
    </row>
    <row r="18" spans="1:12" x14ac:dyDescent="0.25">
      <c r="A18" s="4">
        <v>2018</v>
      </c>
      <c r="B18" s="13">
        <v>4455000</v>
      </c>
      <c r="C18" s="43">
        <v>0.05</v>
      </c>
      <c r="F18" s="48"/>
      <c r="G18" s="48"/>
      <c r="H18" s="48"/>
      <c r="I18" s="48"/>
      <c r="K18">
        <v>2019</v>
      </c>
      <c r="L18" s="35">
        <v>5160625</v>
      </c>
    </row>
    <row r="19" spans="1:12" x14ac:dyDescent="0.25">
      <c r="A19">
        <v>2019</v>
      </c>
      <c r="B19" s="13">
        <v>4685000</v>
      </c>
      <c r="C19" s="27">
        <v>0.05</v>
      </c>
      <c r="F19" s="48" t="s">
        <v>142</v>
      </c>
      <c r="G19" s="48"/>
      <c r="H19" s="48"/>
      <c r="I19" s="48"/>
      <c r="K19">
        <v>2020</v>
      </c>
      <c r="L19" s="35">
        <v>5166375</v>
      </c>
    </row>
    <row r="20" spans="1:12" x14ac:dyDescent="0.25">
      <c r="A20" s="4" t="s">
        <v>127</v>
      </c>
      <c r="B20" s="44">
        <f>650000+4275000</f>
        <v>4925000</v>
      </c>
      <c r="C20" s="43" t="s">
        <v>130</v>
      </c>
      <c r="F20" s="48" t="s">
        <v>143</v>
      </c>
      <c r="G20" s="48"/>
      <c r="H20" s="48"/>
      <c r="I20" s="50">
        <f>((I14*0.045)*4)+306450</f>
        <v>4326750</v>
      </c>
      <c r="K20" t="s">
        <v>146</v>
      </c>
      <c r="L20" s="31">
        <f>SUM(L11:L19)</f>
        <v>30095925</v>
      </c>
    </row>
    <row r="21" spans="1:12" x14ac:dyDescent="0.25">
      <c r="F21" s="48" t="s">
        <v>144</v>
      </c>
      <c r="G21" s="48"/>
      <c r="H21" s="48"/>
      <c r="I21" s="49">
        <f>I14</f>
        <v>22335000</v>
      </c>
    </row>
    <row r="22" spans="1:12" x14ac:dyDescent="0.25">
      <c r="A22" t="s">
        <v>118</v>
      </c>
      <c r="B22" s="31">
        <f>SUM(B16:B20)</f>
        <v>22335000</v>
      </c>
      <c r="C22" s="31">
        <f>SUM(B12:B15)</f>
        <v>14265000</v>
      </c>
      <c r="F22" s="48" t="s">
        <v>145</v>
      </c>
      <c r="G22" s="48"/>
      <c r="H22" s="48"/>
      <c r="I22" s="50">
        <v>3434175</v>
      </c>
    </row>
    <row r="23" spans="1:12" x14ac:dyDescent="0.25">
      <c r="C23" s="31">
        <f>SUM(B13:B15)</f>
        <v>10965000</v>
      </c>
      <c r="F23" s="48" t="s">
        <v>146</v>
      </c>
      <c r="G23" s="48"/>
      <c r="H23" s="48"/>
      <c r="I23" s="52">
        <f>SUM(I20:I22)</f>
        <v>30095925</v>
      </c>
    </row>
    <row r="24" spans="1:12" x14ac:dyDescent="0.25">
      <c r="A24" t="s">
        <v>120</v>
      </c>
      <c r="B24" s="31">
        <f>SUM(B11:B20)</f>
        <v>39750000</v>
      </c>
      <c r="C24" s="31">
        <f>SUM(B14:B15)</f>
        <v>7495000</v>
      </c>
      <c r="F24" s="48" t="s">
        <v>147</v>
      </c>
      <c r="G24" s="48"/>
      <c r="H24" s="48"/>
      <c r="I24" s="52">
        <f>I23-I16</f>
        <v>5080725</v>
      </c>
    </row>
    <row r="25" spans="1:12" x14ac:dyDescent="0.25">
      <c r="C25" s="31">
        <f>SUM(B15)</f>
        <v>3840000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Recommendation</vt:lpstr>
      <vt:lpstr>Debt Main</vt:lpstr>
      <vt:lpstr>2010 GO Summary</vt:lpstr>
      <vt:lpstr>Alaska Psychiatric</vt:lpstr>
      <vt:lpstr>Seafood</vt:lpstr>
      <vt:lpstr>Refunding</vt:lpstr>
      <vt:lpstr>State Virology Lab</vt:lpstr>
      <vt:lpstr>Goose Creek</vt:lpstr>
      <vt:lpstr>Anchorage Jail</vt:lpstr>
      <vt:lpstr>PV Goose Creek</vt:lpstr>
      <vt:lpstr>PV Anchorage Jail</vt:lpstr>
      <vt:lpstr>PV COPS</vt:lpstr>
      <vt:lpstr>PV GO Prepay</vt:lpstr>
      <vt:lpstr>Recommendation!Print_Area</vt:lpstr>
    </vt:vector>
  </TitlesOfParts>
  <Company>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rswilliams</dc:creator>
  <cp:lastModifiedBy>JLBOUCHER</cp:lastModifiedBy>
  <cp:lastPrinted>2011-04-21T22:31:02Z</cp:lastPrinted>
  <dcterms:created xsi:type="dcterms:W3CDTF">2011-03-18T21:46:44Z</dcterms:created>
  <dcterms:modified xsi:type="dcterms:W3CDTF">2011-04-21T22:31:45Z</dcterms:modified>
</cp:coreProperties>
</file>