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Sen_Stoltze\(S) State Affairs\SB 128 - Perm Find; Deposits; Dividend; Earnings\"/>
    </mc:Choice>
  </mc:AlternateContent>
  <bookViews>
    <workbookView xWindow="0" yWindow="0" windowWidth="28800" windowHeight="13020" firstSheet="1" activeTab="6"/>
  </bookViews>
  <sheets>
    <sheet name="RiskSerializationData" sheetId="5" state="hidden" r:id="rId1"/>
    <sheet name="Introduction" sheetId="9" r:id="rId2"/>
    <sheet name="Assumptions" sheetId="7" r:id="rId3"/>
    <sheet name="Fund Model" sheetId="3" r:id="rId4"/>
    <sheet name="Back-up&gt;&gt;" sheetId="8" r:id="rId5"/>
    <sheet name="Key Definitions" sheetId="10" r:id="rId6"/>
    <sheet name="Petroleum Model" sheetId="16" r:id="rId7"/>
  </sheets>
  <externalReferences>
    <externalReference r:id="rId8"/>
  </externalReferences>
  <definedNames>
    <definedName name="_AtRisk_FitDataRange_FIT_30FA4_7F8AD" hidden="1">'[1]Extended Forecast'!#REF!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Pal_Workbook_GUID" localSheetId="6" hidden="1">"51Y1A6Q1UA242G9KNMEAUMD9"</definedName>
    <definedName name="Pal_Workbook_GUID" hidden="1">"1MMJ1Y8WDRGCJPI2SKRB7X2F"</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FALSE</definedName>
    <definedName name="RiskNumIterations" localSheetId="6" hidden="1">5000</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6" i="3" l="1"/>
  <c r="S17" i="3" s="1"/>
  <c r="S18" i="3" s="1"/>
  <c r="S19" i="3" s="1"/>
  <c r="S20" i="3" s="1"/>
  <c r="S21" i="3" s="1"/>
  <c r="S22" i="3" s="1"/>
  <c r="S23" i="3" s="1"/>
  <c r="S24" i="3" s="1"/>
  <c r="S25" i="3" s="1"/>
  <c r="S26" i="3" s="1"/>
  <c r="S27" i="3" s="1"/>
  <c r="S28" i="3" s="1"/>
  <c r="S29" i="3" s="1"/>
  <c r="S30" i="3" s="1"/>
  <c r="S31" i="3" s="1"/>
  <c r="S32" i="3" s="1"/>
  <c r="S33" i="3" s="1"/>
  <c r="S34" i="3" s="1"/>
  <c r="S35" i="3" s="1"/>
  <c r="S36" i="3" s="1"/>
  <c r="S37" i="3" s="1"/>
  <c r="S15" i="3"/>
  <c r="T14" i="3"/>
  <c r="L14" i="3"/>
  <c r="G14" i="3"/>
  <c r="C45" i="7"/>
  <c r="E7" i="3"/>
  <c r="F14" i="3"/>
  <c r="R8" i="3"/>
  <c r="Q14" i="3"/>
  <c r="K14" i="3"/>
  <c r="R9" i="3"/>
  <c r="B14" i="3"/>
  <c r="L46" i="3"/>
  <c r="C122" i="16"/>
  <c r="D4" i="16"/>
  <c r="D122" i="16"/>
  <c r="E4" i="16"/>
  <c r="F4" i="16"/>
  <c r="G4" i="16"/>
  <c r="H4" i="16"/>
  <c r="H122" i="16"/>
  <c r="I4" i="16"/>
  <c r="J4" i="16"/>
  <c r="K4" i="16"/>
  <c r="L4" i="16"/>
  <c r="L122" i="16"/>
  <c r="M4" i="16"/>
  <c r="N4" i="16"/>
  <c r="O4" i="16"/>
  <c r="O122" i="16"/>
  <c r="P4" i="16"/>
  <c r="Q4" i="16"/>
  <c r="R4" i="16"/>
  <c r="S4" i="16"/>
  <c r="S122" i="16"/>
  <c r="T4" i="16"/>
  <c r="T122" i="16"/>
  <c r="U4" i="16"/>
  <c r="V4" i="16"/>
  <c r="W4" i="16"/>
  <c r="X4" i="16"/>
  <c r="Y4" i="16"/>
  <c r="Z4" i="16"/>
  <c r="Z122" i="16"/>
  <c r="Y122" i="16"/>
  <c r="X122" i="16"/>
  <c r="W122" i="16"/>
  <c r="V122" i="16"/>
  <c r="U122" i="16"/>
  <c r="R122" i="16"/>
  <c r="Q122" i="16"/>
  <c r="P122" i="16"/>
  <c r="N122" i="16"/>
  <c r="M122" i="16"/>
  <c r="K122" i="16"/>
  <c r="J122" i="16"/>
  <c r="I122" i="16"/>
  <c r="G122" i="16"/>
  <c r="F122" i="16"/>
  <c r="E122" i="16"/>
  <c r="E8" i="3"/>
  <c r="Q119" i="16"/>
  <c r="Q27" i="16"/>
  <c r="Q29" i="16"/>
  <c r="Q46" i="16"/>
  <c r="Q31" i="16"/>
  <c r="Q57" i="16"/>
  <c r="Q59" i="16"/>
  <c r="Q41" i="16"/>
  <c r="Q67" i="16"/>
  <c r="Q62" i="16"/>
  <c r="C88" i="16"/>
  <c r="C119" i="16"/>
  <c r="C27" i="16"/>
  <c r="C29" i="16"/>
  <c r="C46" i="16"/>
  <c r="C31" i="16"/>
  <c r="C57" i="16"/>
  <c r="C59" i="16"/>
  <c r="C41" i="16"/>
  <c r="C67" i="16"/>
  <c r="C62" i="16"/>
  <c r="D119" i="16"/>
  <c r="D27" i="16"/>
  <c r="D29" i="16"/>
  <c r="D46" i="16"/>
  <c r="D31" i="16"/>
  <c r="D57" i="16"/>
  <c r="D59" i="16"/>
  <c r="D41" i="16"/>
  <c r="D67" i="16"/>
  <c r="D62" i="16"/>
  <c r="E119" i="16"/>
  <c r="E27" i="16"/>
  <c r="E29" i="16"/>
  <c r="E46" i="16"/>
  <c r="E31" i="16"/>
  <c r="E57" i="16"/>
  <c r="E59" i="16"/>
  <c r="E41" i="16"/>
  <c r="E67" i="16"/>
  <c r="E62" i="16"/>
  <c r="F119" i="16"/>
  <c r="F27" i="16"/>
  <c r="F29" i="16"/>
  <c r="F46" i="16"/>
  <c r="F31" i="16"/>
  <c r="F57" i="16"/>
  <c r="F59" i="16"/>
  <c r="F41" i="16"/>
  <c r="F67" i="16"/>
  <c r="F62" i="16"/>
  <c r="G119" i="16"/>
  <c r="G27" i="16"/>
  <c r="G29" i="16"/>
  <c r="G46" i="16"/>
  <c r="G31" i="16"/>
  <c r="G57" i="16"/>
  <c r="G59" i="16"/>
  <c r="G41" i="16"/>
  <c r="G67" i="16"/>
  <c r="G62" i="16"/>
  <c r="H119" i="16"/>
  <c r="H27" i="16"/>
  <c r="H29" i="16"/>
  <c r="H46" i="16"/>
  <c r="H31" i="16"/>
  <c r="H57" i="16"/>
  <c r="H59" i="16"/>
  <c r="H41" i="16"/>
  <c r="H67" i="16"/>
  <c r="H62" i="16"/>
  <c r="I119" i="16"/>
  <c r="I27" i="16"/>
  <c r="I29" i="16"/>
  <c r="I46" i="16"/>
  <c r="I31" i="16"/>
  <c r="I57" i="16"/>
  <c r="I59" i="16"/>
  <c r="I41" i="16"/>
  <c r="I67" i="16"/>
  <c r="I62" i="16"/>
  <c r="J119" i="16"/>
  <c r="J27" i="16"/>
  <c r="J29" i="16"/>
  <c r="J46" i="16"/>
  <c r="J31" i="16"/>
  <c r="J57" i="16"/>
  <c r="J59" i="16"/>
  <c r="J41" i="16"/>
  <c r="J67" i="16"/>
  <c r="J62" i="16"/>
  <c r="K119" i="16"/>
  <c r="K27" i="16"/>
  <c r="K29" i="16"/>
  <c r="K46" i="16"/>
  <c r="K31" i="16"/>
  <c r="K57" i="16"/>
  <c r="K59" i="16"/>
  <c r="K41" i="16"/>
  <c r="K67" i="16"/>
  <c r="K62" i="16"/>
  <c r="L119" i="16"/>
  <c r="L27" i="16"/>
  <c r="L29" i="16"/>
  <c r="L46" i="16"/>
  <c r="L31" i="16"/>
  <c r="L57" i="16"/>
  <c r="L59" i="16"/>
  <c r="L41" i="16"/>
  <c r="L67" i="16"/>
  <c r="L62" i="16"/>
  <c r="M119" i="16"/>
  <c r="M27" i="16"/>
  <c r="M29" i="16"/>
  <c r="M46" i="16"/>
  <c r="M31" i="16"/>
  <c r="M57" i="16"/>
  <c r="M59" i="16"/>
  <c r="M41" i="16"/>
  <c r="M67" i="16"/>
  <c r="M62" i="16"/>
  <c r="N119" i="16"/>
  <c r="N27" i="16"/>
  <c r="N29" i="16"/>
  <c r="N46" i="16"/>
  <c r="N31" i="16"/>
  <c r="N57" i="16"/>
  <c r="N59" i="16"/>
  <c r="N41" i="16"/>
  <c r="N67" i="16"/>
  <c r="N62" i="16"/>
  <c r="O119" i="16"/>
  <c r="O27" i="16"/>
  <c r="O29" i="16"/>
  <c r="O46" i="16"/>
  <c r="O31" i="16"/>
  <c r="O57" i="16"/>
  <c r="O59" i="16"/>
  <c r="O41" i="16"/>
  <c r="O67" i="16"/>
  <c r="O62" i="16"/>
  <c r="P119" i="16"/>
  <c r="P27" i="16"/>
  <c r="P29" i="16"/>
  <c r="P46" i="16"/>
  <c r="P31" i="16"/>
  <c r="P57" i="16"/>
  <c r="P59" i="16"/>
  <c r="P41" i="16"/>
  <c r="P67" i="16"/>
  <c r="P62" i="16"/>
  <c r="Q85" i="16"/>
  <c r="Q100" i="16"/>
  <c r="L45" i="3"/>
  <c r="L47" i="3"/>
  <c r="I14" i="3"/>
  <c r="C44" i="3"/>
  <c r="E44" i="3"/>
  <c r="R7" i="3"/>
  <c r="Q15" i="3"/>
  <c r="K15" i="3"/>
  <c r="L50" i="3"/>
  <c r="Q16" i="3"/>
  <c r="K16" i="3"/>
  <c r="Q17" i="3"/>
  <c r="K17" i="3"/>
  <c r="Q18" i="3"/>
  <c r="K18" i="3"/>
  <c r="Q19" i="3"/>
  <c r="K19" i="3"/>
  <c r="Q20" i="3"/>
  <c r="K20" i="3"/>
  <c r="Q21" i="3"/>
  <c r="K21" i="3"/>
  <c r="Q22" i="3"/>
  <c r="K22" i="3"/>
  <c r="Q23" i="3"/>
  <c r="K23" i="3"/>
  <c r="Q24" i="3"/>
  <c r="K24" i="3"/>
  <c r="Q25" i="3"/>
  <c r="K25" i="3"/>
  <c r="Q26" i="3"/>
  <c r="K26" i="3"/>
  <c r="Q27" i="3"/>
  <c r="K27" i="3"/>
  <c r="Q28" i="3"/>
  <c r="K28" i="3"/>
  <c r="H85" i="16"/>
  <c r="H100" i="16"/>
  <c r="C85" i="16"/>
  <c r="C100" i="16"/>
  <c r="Q29" i="3"/>
  <c r="K29" i="3"/>
  <c r="Q30" i="3"/>
  <c r="K30" i="3"/>
  <c r="Q31" i="3"/>
  <c r="K31" i="3"/>
  <c r="Q32" i="3"/>
  <c r="K32" i="3"/>
  <c r="U23" i="3"/>
  <c r="V23" i="3"/>
  <c r="U119" i="16"/>
  <c r="U27" i="16"/>
  <c r="U29" i="16"/>
  <c r="U46" i="16"/>
  <c r="U31" i="16"/>
  <c r="U57" i="16"/>
  <c r="U59" i="16"/>
  <c r="U41" i="16"/>
  <c r="U67" i="16"/>
  <c r="U62" i="16"/>
  <c r="R119" i="16"/>
  <c r="R27" i="16"/>
  <c r="R29" i="16"/>
  <c r="R46" i="16"/>
  <c r="R31" i="16"/>
  <c r="R57" i="16"/>
  <c r="R59" i="16"/>
  <c r="R41" i="16"/>
  <c r="R67" i="16"/>
  <c r="R62" i="16"/>
  <c r="S119" i="16"/>
  <c r="S27" i="16"/>
  <c r="S29" i="16"/>
  <c r="S46" i="16"/>
  <c r="S31" i="16"/>
  <c r="S57" i="16"/>
  <c r="S59" i="16"/>
  <c r="S41" i="16"/>
  <c r="S67" i="16"/>
  <c r="S62" i="16"/>
  <c r="T119" i="16"/>
  <c r="T27" i="16"/>
  <c r="T29" i="16"/>
  <c r="T46" i="16"/>
  <c r="T31" i="16"/>
  <c r="T57" i="16"/>
  <c r="T59" i="16"/>
  <c r="T41" i="16"/>
  <c r="T67" i="16"/>
  <c r="T62" i="16"/>
  <c r="U85" i="16"/>
  <c r="U100" i="16"/>
  <c r="O123" i="16"/>
  <c r="O121" i="16"/>
  <c r="G85" i="16"/>
  <c r="G100" i="16"/>
  <c r="Z119" i="16"/>
  <c r="Z27" i="16"/>
  <c r="Z29" i="16"/>
  <c r="Z46" i="16"/>
  <c r="Z31" i="16"/>
  <c r="Z57" i="16"/>
  <c r="Z59" i="16"/>
  <c r="Z41" i="16"/>
  <c r="Z67" i="16"/>
  <c r="Z62" i="16"/>
  <c r="V119" i="16"/>
  <c r="V27" i="16"/>
  <c r="V29" i="16"/>
  <c r="V46" i="16"/>
  <c r="V31" i="16"/>
  <c r="V57" i="16"/>
  <c r="V59" i="16"/>
  <c r="V41" i="16"/>
  <c r="V67" i="16"/>
  <c r="V62" i="16"/>
  <c r="W119" i="16"/>
  <c r="W27" i="16"/>
  <c r="W29" i="16"/>
  <c r="W46" i="16"/>
  <c r="W31" i="16"/>
  <c r="W57" i="16"/>
  <c r="W59" i="16"/>
  <c r="W41" i="16"/>
  <c r="W67" i="16"/>
  <c r="W62" i="16"/>
  <c r="X119" i="16"/>
  <c r="X27" i="16"/>
  <c r="X29" i="16"/>
  <c r="X46" i="16"/>
  <c r="X31" i="16"/>
  <c r="X57" i="16"/>
  <c r="X59" i="16"/>
  <c r="X41" i="16"/>
  <c r="X67" i="16"/>
  <c r="X62" i="16"/>
  <c r="Y119" i="16"/>
  <c r="Y27" i="16"/>
  <c r="Y29" i="16"/>
  <c r="Y46" i="16"/>
  <c r="Y31" i="16"/>
  <c r="Y57" i="16"/>
  <c r="Y59" i="16"/>
  <c r="Y41" i="16"/>
  <c r="Y67" i="16"/>
  <c r="Y62" i="16"/>
  <c r="Z85" i="16"/>
  <c r="Z100" i="16"/>
  <c r="E85" i="16"/>
  <c r="E100" i="16"/>
  <c r="D85" i="16"/>
  <c r="D100" i="16"/>
  <c r="T85" i="16"/>
  <c r="T100" i="16"/>
  <c r="V85" i="16"/>
  <c r="V100" i="16"/>
  <c r="P85" i="16"/>
  <c r="P100" i="16"/>
  <c r="X85" i="16"/>
  <c r="X100" i="16"/>
  <c r="U20" i="3"/>
  <c r="V20" i="3"/>
  <c r="U32" i="3"/>
  <c r="V32" i="3"/>
  <c r="Y123" i="16"/>
  <c r="Y121" i="16"/>
  <c r="F85" i="16"/>
  <c r="F100" i="16"/>
  <c r="W85" i="16"/>
  <c r="W100" i="16"/>
  <c r="Q33" i="3"/>
  <c r="K33" i="3"/>
  <c r="Q34" i="3"/>
  <c r="K34" i="3"/>
  <c r="Q35" i="3"/>
  <c r="K35" i="3"/>
  <c r="Q36" i="3"/>
  <c r="K36" i="3"/>
  <c r="U29" i="3"/>
  <c r="V29" i="3"/>
  <c r="B15" i="3"/>
  <c r="B16" i="3"/>
  <c r="B17" i="3"/>
  <c r="B18" i="3"/>
  <c r="B19" i="3"/>
  <c r="B20" i="3"/>
  <c r="B21" i="3"/>
  <c r="B22" i="3"/>
  <c r="B23" i="3"/>
  <c r="B24" i="3"/>
  <c r="B25" i="3"/>
  <c r="B26" i="3"/>
  <c r="B27" i="3"/>
  <c r="B28" i="3"/>
  <c r="B29" i="3"/>
  <c r="B30" i="3"/>
  <c r="B31" i="3"/>
  <c r="B32" i="3"/>
  <c r="Y85" i="16"/>
  <c r="Y100" i="16"/>
  <c r="U35" i="3"/>
  <c r="V35" i="3"/>
  <c r="Q123" i="16"/>
  <c r="Q121" i="16"/>
  <c r="U31" i="3"/>
  <c r="V31" i="3"/>
  <c r="E123" i="16"/>
  <c r="E121" i="16"/>
  <c r="U28" i="3"/>
  <c r="V28" i="3"/>
  <c r="K85" i="16"/>
  <c r="K100" i="16"/>
  <c r="M85" i="16"/>
  <c r="M100" i="16"/>
  <c r="B33" i="3"/>
  <c r="W123" i="16"/>
  <c r="W121" i="16"/>
  <c r="N85" i="16"/>
  <c r="N100" i="16"/>
  <c r="U34" i="3"/>
  <c r="V34" i="3"/>
  <c r="R85" i="16"/>
  <c r="R100" i="16"/>
  <c r="S85" i="16"/>
  <c r="S100" i="16"/>
  <c r="P123" i="16"/>
  <c r="P121" i="16"/>
  <c r="U17" i="3"/>
  <c r="V17" i="3"/>
  <c r="D123" i="16"/>
  <c r="D121" i="16"/>
  <c r="B34" i="3"/>
  <c r="B35" i="3"/>
  <c r="B36" i="3"/>
  <c r="F123" i="16"/>
  <c r="F121" i="16"/>
  <c r="U30" i="3"/>
  <c r="V30" i="3"/>
  <c r="U19" i="3"/>
  <c r="V19" i="3"/>
  <c r="L85" i="16"/>
  <c r="L100" i="16"/>
  <c r="I85" i="16"/>
  <c r="I100" i="16"/>
  <c r="Q37" i="3"/>
  <c r="K37" i="3"/>
  <c r="B37" i="3"/>
  <c r="L123" i="16"/>
  <c r="L121" i="16"/>
  <c r="U21" i="3"/>
  <c r="V21" i="3"/>
  <c r="U123" i="16"/>
  <c r="U121" i="16"/>
  <c r="O85" i="16"/>
  <c r="O100" i="16"/>
  <c r="J85" i="16"/>
  <c r="J100" i="16"/>
  <c r="G123" i="16"/>
  <c r="G121" i="16"/>
  <c r="U14" i="3"/>
  <c r="V14" i="3"/>
  <c r="V123" i="16"/>
  <c r="V121" i="16"/>
  <c r="X123" i="16"/>
  <c r="X121" i="16"/>
  <c r="R123" i="16"/>
  <c r="R121" i="16"/>
  <c r="C123" i="16"/>
  <c r="C121" i="16"/>
  <c r="U25" i="3"/>
  <c r="V25" i="3"/>
  <c r="U26" i="3"/>
  <c r="V26" i="3"/>
  <c r="S123" i="16"/>
  <c r="S121" i="16"/>
  <c r="U22" i="3"/>
  <c r="V22" i="3"/>
  <c r="U33" i="3"/>
  <c r="V33" i="3"/>
  <c r="Z123" i="16"/>
  <c r="Z121" i="16"/>
  <c r="U24" i="3"/>
  <c r="V24" i="3"/>
  <c r="U15" i="3"/>
  <c r="V15" i="3"/>
  <c r="M123" i="16"/>
  <c r="M121" i="16"/>
  <c r="U37" i="3"/>
  <c r="V37" i="3"/>
  <c r="U27" i="3"/>
  <c r="V27" i="3"/>
  <c r="U16" i="3"/>
  <c r="V16" i="3"/>
  <c r="K123" i="16"/>
  <c r="K121" i="16"/>
  <c r="U18" i="3"/>
  <c r="V18" i="3"/>
  <c r="H123" i="16"/>
  <c r="H121" i="16"/>
  <c r="N123" i="16"/>
  <c r="N121" i="16"/>
  <c r="U36" i="3"/>
  <c r="V36" i="3"/>
  <c r="T123" i="16"/>
  <c r="T121" i="16"/>
  <c r="J123" i="16"/>
  <c r="J121" i="16"/>
  <c r="I123" i="16"/>
  <c r="I121" i="16"/>
  <c r="B45" i="3"/>
  <c r="L115" i="16"/>
  <c r="M115" i="16"/>
  <c r="N115" i="16"/>
  <c r="O115" i="16"/>
  <c r="P115" i="16"/>
  <c r="Q115" i="16"/>
  <c r="R115" i="16"/>
  <c r="S115" i="16"/>
  <c r="T115" i="16"/>
  <c r="U115" i="16"/>
  <c r="V115" i="16"/>
  <c r="W115" i="16"/>
  <c r="X115" i="16"/>
  <c r="Y115" i="16"/>
  <c r="Z115" i="16"/>
  <c r="B166" i="16"/>
  <c r="B167" i="16"/>
  <c r="B168" i="16"/>
  <c r="B169" i="16"/>
  <c r="B170" i="16"/>
  <c r="B171" i="16"/>
  <c r="B172" i="16"/>
  <c r="B173" i="16"/>
  <c r="B174" i="16"/>
  <c r="B175" i="16"/>
  <c r="B176" i="16"/>
  <c r="B177" i="16"/>
  <c r="B178" i="16"/>
  <c r="B179" i="16"/>
  <c r="B180" i="16"/>
  <c r="B181" i="16"/>
  <c r="B182" i="16"/>
  <c r="B183" i="16"/>
  <c r="B184" i="16"/>
  <c r="B185" i="16"/>
  <c r="B186" i="16"/>
  <c r="B187" i="16"/>
  <c r="B188" i="16"/>
  <c r="B165" i="16"/>
  <c r="A119" i="16"/>
  <c r="A118" i="16"/>
  <c r="A116" i="16"/>
  <c r="A115" i="16"/>
  <c r="A113" i="16"/>
  <c r="A112" i="16"/>
  <c r="Z37" i="16"/>
  <c r="Y37" i="16"/>
  <c r="X37" i="16"/>
  <c r="W37" i="16"/>
  <c r="V37" i="16"/>
  <c r="U37" i="16"/>
  <c r="T37" i="16"/>
  <c r="S37" i="16"/>
  <c r="R37" i="16"/>
  <c r="Q37" i="16"/>
  <c r="P37" i="16"/>
  <c r="O37" i="16"/>
  <c r="N37" i="16"/>
  <c r="M37" i="16"/>
  <c r="L37" i="16"/>
  <c r="K37" i="16"/>
  <c r="J37" i="16"/>
  <c r="I37" i="16"/>
  <c r="H37" i="16"/>
  <c r="G37" i="16"/>
  <c r="F37" i="16"/>
  <c r="E37" i="16"/>
  <c r="D37" i="16"/>
  <c r="C37" i="16"/>
  <c r="H2" i="16"/>
  <c r="F2" i="16"/>
  <c r="B70" i="7"/>
  <c r="B71" i="7"/>
  <c r="B72" i="7"/>
  <c r="B73" i="7"/>
  <c r="B74" i="7"/>
  <c r="B75" i="7"/>
  <c r="B76" i="7"/>
  <c r="B77" i="7"/>
  <c r="B78" i="7"/>
  <c r="B79" i="7"/>
  <c r="B80" i="7"/>
  <c r="B81" i="7"/>
  <c r="B82" i="7"/>
  <c r="B83" i="7"/>
  <c r="B84" i="7"/>
  <c r="B85" i="7"/>
  <c r="B86" i="7"/>
  <c r="B87" i="7"/>
  <c r="B88" i="7"/>
  <c r="B89" i="7"/>
  <c r="B90" i="7"/>
  <c r="B91" i="7"/>
  <c r="B92" i="7"/>
  <c r="E9" i="3"/>
  <c r="C30" i="7"/>
  <c r="D44" i="3"/>
  <c r="B100" i="7"/>
  <c r="B101" i="7"/>
  <c r="B102" i="7"/>
  <c r="B103" i="7"/>
  <c r="B104" i="7"/>
  <c r="B105" i="7"/>
  <c r="B106" i="7"/>
  <c r="B107" i="7"/>
  <c r="B108" i="7"/>
  <c r="B109" i="7"/>
  <c r="B110" i="7"/>
  <c r="B111" i="7"/>
  <c r="B112" i="7"/>
  <c r="B113" i="7"/>
  <c r="B114" i="7"/>
  <c r="B115" i="7"/>
  <c r="B116" i="7"/>
  <c r="B117" i="7"/>
  <c r="B118" i="7"/>
  <c r="B119" i="7"/>
  <c r="B120" i="7"/>
  <c r="B121" i="7"/>
  <c r="B122" i="7"/>
  <c r="B123" i="7"/>
  <c r="V9" i="3"/>
  <c r="U9" i="3"/>
  <c r="U8" i="3"/>
  <c r="H8" i="3"/>
  <c r="T9" i="3"/>
  <c r="V7" i="3"/>
  <c r="U7" i="3"/>
  <c r="T8" i="3"/>
  <c r="AN5" i="5"/>
  <c r="AN4" i="5"/>
  <c r="AN3" i="5"/>
  <c r="A5" i="5"/>
  <c r="AG5" i="5"/>
  <c r="B73" i="3"/>
  <c r="D12" i="16"/>
  <c r="E12" i="16"/>
  <c r="F12" i="16"/>
  <c r="G12" i="16"/>
  <c r="H12" i="16"/>
  <c r="I12" i="16"/>
  <c r="J12" i="16"/>
  <c r="K12" i="16"/>
  <c r="L12" i="16"/>
  <c r="M12" i="16"/>
  <c r="N12" i="16"/>
  <c r="O12" i="16"/>
  <c r="P12" i="16"/>
  <c r="Q12" i="16"/>
  <c r="R12" i="16"/>
  <c r="S12" i="16"/>
  <c r="T12" i="16"/>
  <c r="U12" i="16"/>
  <c r="V12" i="16"/>
  <c r="W12" i="16"/>
  <c r="X12" i="16"/>
  <c r="Y12" i="16"/>
  <c r="Z12" i="16"/>
  <c r="B46" i="3"/>
  <c r="B74" i="3"/>
  <c r="C30" i="16"/>
  <c r="B47" i="3"/>
  <c r="B75" i="3"/>
  <c r="D30" i="16"/>
  <c r="B76" i="3"/>
  <c r="B48" i="3"/>
  <c r="E30" i="16"/>
  <c r="B77" i="3"/>
  <c r="B49" i="3"/>
  <c r="F30" i="16"/>
  <c r="B50" i="3"/>
  <c r="B78" i="3"/>
  <c r="G30" i="16"/>
  <c r="B51" i="3"/>
  <c r="B79" i="3"/>
  <c r="H30" i="16"/>
  <c r="B80" i="3"/>
  <c r="B52" i="3"/>
  <c r="I30" i="16"/>
  <c r="B81" i="3"/>
  <c r="B53" i="3"/>
  <c r="J30" i="16"/>
  <c r="B82" i="3"/>
  <c r="B54" i="3"/>
  <c r="K30" i="16"/>
  <c r="B55" i="3"/>
  <c r="B83" i="3"/>
  <c r="L30" i="16"/>
  <c r="B84" i="3"/>
  <c r="B56" i="3"/>
  <c r="M30" i="16"/>
  <c r="B85" i="3"/>
  <c r="B57" i="3"/>
  <c r="N30" i="16"/>
  <c r="B58" i="3"/>
  <c r="B86" i="3"/>
  <c r="O30" i="16"/>
  <c r="B87" i="3"/>
  <c r="B59" i="3"/>
  <c r="P30" i="16"/>
  <c r="B88" i="3"/>
  <c r="B60" i="3"/>
  <c r="Q30" i="16"/>
  <c r="B61" i="3"/>
  <c r="B89" i="3"/>
  <c r="R30" i="16"/>
  <c r="B62" i="3"/>
  <c r="B90" i="3"/>
  <c r="S30" i="16"/>
  <c r="B91" i="3"/>
  <c r="B63" i="3"/>
  <c r="T30" i="16"/>
  <c r="B64" i="3"/>
  <c r="B92" i="3"/>
  <c r="U30" i="16"/>
  <c r="B93" i="3"/>
  <c r="B65" i="3"/>
  <c r="V30" i="16"/>
  <c r="B66" i="3"/>
  <c r="B94" i="3"/>
  <c r="W30" i="16"/>
  <c r="B67" i="3"/>
  <c r="B95" i="3"/>
  <c r="A4" i="5"/>
  <c r="AG4" i="5"/>
  <c r="X30" i="16"/>
  <c r="B96" i="3"/>
  <c r="B68" i="3"/>
  <c r="Y30" i="16"/>
  <c r="Z30" i="16"/>
  <c r="E124" i="16"/>
  <c r="I56" i="3"/>
  <c r="I66" i="3"/>
  <c r="D14" i="3"/>
  <c r="I51" i="3"/>
  <c r="I49" i="3"/>
  <c r="U124" i="16"/>
  <c r="I63" i="3"/>
  <c r="I50" i="3"/>
  <c r="D124" i="16"/>
  <c r="I68" i="3"/>
  <c r="R124" i="16"/>
  <c r="S124" i="16"/>
  <c r="Y124" i="16"/>
  <c r="I62" i="3"/>
  <c r="G124" i="16"/>
  <c r="V124" i="16"/>
  <c r="M124" i="16"/>
  <c r="I47" i="3"/>
  <c r="Q124" i="16"/>
  <c r="I54" i="3"/>
  <c r="I52" i="3"/>
  <c r="I57" i="3"/>
  <c r="K124" i="16"/>
  <c r="X124" i="16"/>
  <c r="I46" i="3"/>
  <c r="I60" i="3"/>
  <c r="F124" i="16"/>
  <c r="I64" i="3"/>
  <c r="J124" i="16"/>
  <c r="T124" i="16"/>
  <c r="I61" i="3"/>
  <c r="I59" i="3"/>
  <c r="I124" i="16"/>
  <c r="C124" i="16"/>
  <c r="P124" i="16"/>
  <c r="I53" i="3"/>
  <c r="I67" i="3"/>
  <c r="I58" i="3"/>
  <c r="I55" i="3"/>
  <c r="L124" i="16"/>
  <c r="I45" i="3"/>
  <c r="I48" i="3"/>
  <c r="Z124" i="16"/>
  <c r="H124" i="16"/>
  <c r="O124" i="16"/>
  <c r="I65" i="3"/>
  <c r="W124" i="16"/>
  <c r="N124" i="16"/>
  <c r="V118" i="16" l="1"/>
  <c r="V9" i="16" s="1"/>
  <c r="V78" i="16" s="1"/>
  <c r="W118" i="16"/>
  <c r="W9" i="16" s="1"/>
  <c r="W21" i="16" s="1"/>
  <c r="W71" i="16" s="1"/>
  <c r="F118" i="16"/>
  <c r="F9" i="16" s="1"/>
  <c r="F78" i="16" s="1"/>
  <c r="N118" i="16"/>
  <c r="N9" i="16" s="1"/>
  <c r="N21" i="16" s="1"/>
  <c r="G118" i="16"/>
  <c r="G9" i="16" s="1"/>
  <c r="G78" i="16" s="1"/>
  <c r="O118" i="16"/>
  <c r="O9" i="16" s="1"/>
  <c r="O78" i="16" s="1"/>
  <c r="H118" i="16"/>
  <c r="H9" i="16" s="1"/>
  <c r="H78" i="16" s="1"/>
  <c r="P118" i="16"/>
  <c r="P9" i="16" s="1"/>
  <c r="P78" i="16" s="1"/>
  <c r="X118" i="16"/>
  <c r="X9" i="16" s="1"/>
  <c r="X78" i="16" s="1"/>
  <c r="Y118" i="16"/>
  <c r="Y9" i="16" s="1"/>
  <c r="Y78" i="16" s="1"/>
  <c r="Z118" i="16"/>
  <c r="Z9" i="16" s="1"/>
  <c r="Z21" i="16" s="1"/>
  <c r="C118" i="16"/>
  <c r="C9" i="16" s="1"/>
  <c r="C11" i="16" s="1"/>
  <c r="C13" i="16" s="1"/>
  <c r="C15" i="16" s="1"/>
  <c r="K118" i="16"/>
  <c r="K9" i="16" s="1"/>
  <c r="K21" i="16" s="1"/>
  <c r="S118" i="16"/>
  <c r="S9" i="16" s="1"/>
  <c r="S21" i="16" s="1"/>
  <c r="S71" i="16" s="1"/>
  <c r="I118" i="16"/>
  <c r="I9" i="16" s="1"/>
  <c r="I78" i="16" s="1"/>
  <c r="R118" i="16"/>
  <c r="R9" i="16" s="1"/>
  <c r="R21" i="16" s="1"/>
  <c r="R71" i="16" s="1"/>
  <c r="D118" i="16"/>
  <c r="D9" i="16" s="1"/>
  <c r="D21" i="16" s="1"/>
  <c r="L118" i="16"/>
  <c r="L9" i="16" s="1"/>
  <c r="L21" i="16" s="1"/>
  <c r="T118" i="16"/>
  <c r="T9" i="16" s="1"/>
  <c r="T21" i="16" s="1"/>
  <c r="Q118" i="16"/>
  <c r="Q9" i="16" s="1"/>
  <c r="Q78" i="16" s="1"/>
  <c r="J118" i="16"/>
  <c r="J9" i="16" s="1"/>
  <c r="J21" i="16" s="1"/>
  <c r="J64" i="16" s="1"/>
  <c r="J68" i="16" s="1"/>
  <c r="E118" i="16"/>
  <c r="E9" i="16" s="1"/>
  <c r="E78" i="16" s="1"/>
  <c r="M118" i="16"/>
  <c r="M9" i="16" s="1"/>
  <c r="M21" i="16" s="1"/>
  <c r="U118" i="16"/>
  <c r="U9" i="16" s="1"/>
  <c r="U21" i="16" s="1"/>
  <c r="J14" i="3"/>
  <c r="J16" i="3"/>
  <c r="J18" i="3"/>
  <c r="J20" i="3"/>
  <c r="J22" i="3"/>
  <c r="J24" i="3"/>
  <c r="J26" i="3"/>
  <c r="J28" i="3"/>
  <c r="J30" i="3"/>
  <c r="J32" i="3"/>
  <c r="J34" i="3"/>
  <c r="J36" i="3"/>
  <c r="J15" i="3"/>
  <c r="J17" i="3"/>
  <c r="J19" i="3"/>
  <c r="J21" i="3"/>
  <c r="J23" i="3"/>
  <c r="J25" i="3"/>
  <c r="J27" i="3"/>
  <c r="J29" i="3"/>
  <c r="J31" i="3"/>
  <c r="J33" i="3"/>
  <c r="J35" i="3"/>
  <c r="J37" i="3"/>
  <c r="K152" i="16"/>
  <c r="K159" i="16"/>
  <c r="K78" i="16" l="1"/>
  <c r="Z78" i="16"/>
  <c r="L78" i="16"/>
  <c r="O21" i="16"/>
  <c r="O64" i="16" s="1"/>
  <c r="T78" i="16"/>
  <c r="N78" i="16"/>
  <c r="F21" i="16"/>
  <c r="F71" i="16" s="1"/>
  <c r="C21" i="16"/>
  <c r="C64" i="16" s="1"/>
  <c r="E21" i="16"/>
  <c r="E24" i="16" s="1"/>
  <c r="E47" i="16" s="1"/>
  <c r="E50" i="16" s="1"/>
  <c r="J65" i="16"/>
  <c r="Q21" i="16"/>
  <c r="Q24" i="16" s="1"/>
  <c r="Q47" i="16" s="1"/>
  <c r="Q50" i="16" s="1"/>
  <c r="I21" i="16"/>
  <c r="I64" i="16" s="1"/>
  <c r="C78" i="16"/>
  <c r="Y21" i="16"/>
  <c r="Y64" i="16" s="1"/>
  <c r="Y68" i="16" s="1"/>
  <c r="Y69" i="16" s="1"/>
  <c r="D78" i="16"/>
  <c r="W24" i="16"/>
  <c r="W47" i="16" s="1"/>
  <c r="W50" i="16" s="1"/>
  <c r="W133" i="16" s="1"/>
  <c r="G159" i="16" s="1"/>
  <c r="V21" i="16"/>
  <c r="V64" i="16" s="1"/>
  <c r="X21" i="16"/>
  <c r="X64" i="16" s="1"/>
  <c r="X68" i="16" s="1"/>
  <c r="X69" i="16" s="1"/>
  <c r="W78" i="16"/>
  <c r="U78" i="16"/>
  <c r="S78" i="16"/>
  <c r="W64" i="16"/>
  <c r="W65" i="16" s="1"/>
  <c r="J71" i="16"/>
  <c r="J72" i="16" s="1"/>
  <c r="R64" i="16"/>
  <c r="R68" i="16" s="1"/>
  <c r="R72" i="16" s="1"/>
  <c r="J24" i="16"/>
  <c r="J47" i="16" s="1"/>
  <c r="J50" i="16" s="1"/>
  <c r="J133" i="16" s="1"/>
  <c r="G146" i="16" s="1"/>
  <c r="H21" i="16"/>
  <c r="H71" i="16" s="1"/>
  <c r="R24" i="16"/>
  <c r="R47" i="16" s="1"/>
  <c r="R50" i="16" s="1"/>
  <c r="R135" i="16" s="1"/>
  <c r="P21" i="16"/>
  <c r="P24" i="16" s="1"/>
  <c r="P47" i="16" s="1"/>
  <c r="P50" i="16" s="1"/>
  <c r="P133" i="16" s="1"/>
  <c r="M78" i="16"/>
  <c r="R78" i="16"/>
  <c r="G21" i="16"/>
  <c r="G71" i="16" s="1"/>
  <c r="J78" i="16"/>
  <c r="S64" i="16"/>
  <c r="S68" i="16" s="1"/>
  <c r="S24" i="16"/>
  <c r="S47" i="16" s="1"/>
  <c r="S50" i="16" s="1"/>
  <c r="S135" i="16" s="1"/>
  <c r="D11" i="16"/>
  <c r="J69" i="16"/>
  <c r="Z71" i="16"/>
  <c r="Z64" i="16"/>
  <c r="Z24" i="16"/>
  <c r="Z47" i="16" s="1"/>
  <c r="Z50" i="16" s="1"/>
  <c r="U71" i="16"/>
  <c r="U24" i="16"/>
  <c r="U47" i="16" s="1"/>
  <c r="U50" i="16" s="1"/>
  <c r="U64" i="16"/>
  <c r="M71" i="16"/>
  <c r="M24" i="16"/>
  <c r="M47" i="16" s="1"/>
  <c r="M50" i="16" s="1"/>
  <c r="M64" i="16"/>
  <c r="D71" i="16"/>
  <c r="D24" i="16"/>
  <c r="D47" i="16" s="1"/>
  <c r="D50" i="16" s="1"/>
  <c r="D64" i="16"/>
  <c r="L71" i="16"/>
  <c r="L64" i="16"/>
  <c r="L24" i="16"/>
  <c r="L47" i="16" s="1"/>
  <c r="L50" i="16" s="1"/>
  <c r="T64" i="16"/>
  <c r="T71" i="16"/>
  <c r="T24" i="16"/>
  <c r="T47" i="16" s="1"/>
  <c r="T50" i="16" s="1"/>
  <c r="N71" i="16"/>
  <c r="N24" i="16"/>
  <c r="N47" i="16" s="1"/>
  <c r="N50" i="16" s="1"/>
  <c r="N64" i="16"/>
  <c r="K71" i="16"/>
  <c r="K64" i="16"/>
  <c r="K24" i="16"/>
  <c r="K47" i="16" s="1"/>
  <c r="K50" i="16" s="1"/>
  <c r="K146" i="16"/>
  <c r="C146" i="16"/>
  <c r="K154" i="16"/>
  <c r="C159" i="16"/>
  <c r="C152" i="16"/>
  <c r="Q64" i="16" l="1"/>
  <c r="Q65" i="16" s="1"/>
  <c r="O71" i="16"/>
  <c r="C24" i="16"/>
  <c r="C47" i="16" s="1"/>
  <c r="C50" i="16" s="1"/>
  <c r="C133" i="16" s="1"/>
  <c r="F64" i="16"/>
  <c r="F68" i="16" s="1"/>
  <c r="F72" i="16" s="1"/>
  <c r="Y24" i="16"/>
  <c r="Y47" i="16" s="1"/>
  <c r="Y50" i="16" s="1"/>
  <c r="Y135" i="16" s="1"/>
  <c r="R65" i="16"/>
  <c r="I24" i="16"/>
  <c r="I47" i="16" s="1"/>
  <c r="I50" i="16" s="1"/>
  <c r="I133" i="16" s="1"/>
  <c r="E71" i="16"/>
  <c r="R69" i="16"/>
  <c r="O24" i="16"/>
  <c r="O47" i="16" s="1"/>
  <c r="O50" i="16" s="1"/>
  <c r="O135" i="16" s="1"/>
  <c r="F24" i="16"/>
  <c r="F47" i="16" s="1"/>
  <c r="F50" i="16" s="1"/>
  <c r="F133" i="16" s="1"/>
  <c r="G142" i="16" s="1"/>
  <c r="P64" i="16"/>
  <c r="P65" i="16" s="1"/>
  <c r="I71" i="16"/>
  <c r="C71" i="16"/>
  <c r="E64" i="16"/>
  <c r="E68" i="16" s="1"/>
  <c r="P135" i="16"/>
  <c r="Q71" i="16"/>
  <c r="X24" i="16"/>
  <c r="X47" i="16" s="1"/>
  <c r="X50" i="16" s="1"/>
  <c r="X135" i="16" s="1"/>
  <c r="W135" i="16"/>
  <c r="V24" i="16"/>
  <c r="V47" i="16" s="1"/>
  <c r="V50" i="16" s="1"/>
  <c r="V135" i="16" s="1"/>
  <c r="J53" i="16"/>
  <c r="W53" i="16"/>
  <c r="V71" i="16"/>
  <c r="D185" i="16"/>
  <c r="E185" i="16"/>
  <c r="T35" i="3" s="1"/>
  <c r="W68" i="16"/>
  <c r="W69" i="16" s="1"/>
  <c r="Y71" i="16"/>
  <c r="Y72" i="16" s="1"/>
  <c r="Y89" i="16" s="1"/>
  <c r="P71" i="16"/>
  <c r="Y65" i="16"/>
  <c r="X71" i="16"/>
  <c r="X72" i="16" s="1"/>
  <c r="X76" i="16" s="1"/>
  <c r="X65" i="16"/>
  <c r="P53" i="16"/>
  <c r="J135" i="16"/>
  <c r="R133" i="16"/>
  <c r="D178" i="16"/>
  <c r="E178" i="16"/>
  <c r="T28" i="3" s="1"/>
  <c r="G64" i="16"/>
  <c r="G68" i="16" s="1"/>
  <c r="G69" i="16" s="1"/>
  <c r="R53" i="16"/>
  <c r="H24" i="16"/>
  <c r="H47" i="16" s="1"/>
  <c r="H50" i="16" s="1"/>
  <c r="H53" i="16" s="1"/>
  <c r="G24" i="16"/>
  <c r="G47" i="16" s="1"/>
  <c r="G50" i="16" s="1"/>
  <c r="G53" i="16" s="1"/>
  <c r="H64" i="16"/>
  <c r="H68" i="16" s="1"/>
  <c r="H72" i="16" s="1"/>
  <c r="G152" i="16"/>
  <c r="S65" i="16"/>
  <c r="F65" i="16"/>
  <c r="Y133" i="16"/>
  <c r="S133" i="16"/>
  <c r="F135" i="16"/>
  <c r="S53" i="16"/>
  <c r="C68" i="16"/>
  <c r="C65" i="16"/>
  <c r="E11" i="16"/>
  <c r="D13" i="16"/>
  <c r="D15" i="16" s="1"/>
  <c r="K65" i="16"/>
  <c r="K68" i="16"/>
  <c r="D53" i="16"/>
  <c r="D135" i="16"/>
  <c r="D133" i="16"/>
  <c r="D172" i="16"/>
  <c r="E172" i="16"/>
  <c r="T22" i="3" s="1"/>
  <c r="J89" i="16"/>
  <c r="J76" i="16"/>
  <c r="U65" i="16"/>
  <c r="U68" i="16"/>
  <c r="O68" i="16"/>
  <c r="O65" i="16"/>
  <c r="M135" i="16"/>
  <c r="M133" i="16"/>
  <c r="M53" i="16"/>
  <c r="N133" i="16"/>
  <c r="N53" i="16"/>
  <c r="N135" i="16"/>
  <c r="Q133" i="16"/>
  <c r="Q135" i="16"/>
  <c r="Q53" i="16"/>
  <c r="T68" i="16"/>
  <c r="T65" i="16"/>
  <c r="Z133" i="16"/>
  <c r="Z135" i="16"/>
  <c r="Z53" i="16"/>
  <c r="R89" i="16"/>
  <c r="R76" i="16"/>
  <c r="D65" i="16"/>
  <c r="D68" i="16"/>
  <c r="T135" i="16"/>
  <c r="T133" i="16"/>
  <c r="T53" i="16"/>
  <c r="E133" i="16"/>
  <c r="E135" i="16"/>
  <c r="E53" i="16"/>
  <c r="L133" i="16"/>
  <c r="L135" i="16"/>
  <c r="L53" i="16"/>
  <c r="M65" i="16"/>
  <c r="M68" i="16"/>
  <c r="U135" i="16"/>
  <c r="U133" i="16"/>
  <c r="U53" i="16"/>
  <c r="N68" i="16"/>
  <c r="N65" i="16"/>
  <c r="L68" i="16"/>
  <c r="L65" i="16"/>
  <c r="S72" i="16"/>
  <c r="S69" i="16"/>
  <c r="K133" i="16"/>
  <c r="K135" i="16"/>
  <c r="K53" i="16"/>
  <c r="Q68" i="16"/>
  <c r="I65" i="16"/>
  <c r="I68" i="16"/>
  <c r="V68" i="16"/>
  <c r="V65" i="16"/>
  <c r="Z68" i="16"/>
  <c r="Z65" i="16"/>
  <c r="C155" i="16"/>
  <c r="C142" i="16"/>
  <c r="K144" i="16"/>
  <c r="K155" i="16"/>
  <c r="K142" i="16"/>
  <c r="C154" i="16"/>
  <c r="C135" i="16" l="1"/>
  <c r="E65" i="16"/>
  <c r="F69" i="16"/>
  <c r="P68" i="16"/>
  <c r="P72" i="16" s="1"/>
  <c r="P76" i="16" s="1"/>
  <c r="Y76" i="16"/>
  <c r="Y79" i="16" s="1"/>
  <c r="Y80" i="16" s="1"/>
  <c r="C53" i="16"/>
  <c r="Y53" i="16"/>
  <c r="O53" i="16"/>
  <c r="F53" i="16"/>
  <c r="O133" i="16"/>
  <c r="G151" i="16" s="1"/>
  <c r="X53" i="16"/>
  <c r="X133" i="16"/>
  <c r="G160" i="16" s="1"/>
  <c r="I135" i="16"/>
  <c r="I53" i="16"/>
  <c r="V53" i="16"/>
  <c r="V133" i="16"/>
  <c r="G158" i="16" s="1"/>
  <c r="W72" i="16"/>
  <c r="W89" i="16" s="1"/>
  <c r="X89" i="16"/>
  <c r="G65" i="16"/>
  <c r="E180" i="16"/>
  <c r="T30" i="3" s="1"/>
  <c r="D180" i="16"/>
  <c r="G72" i="16"/>
  <c r="G89" i="16" s="1"/>
  <c r="G154" i="16"/>
  <c r="H69" i="16"/>
  <c r="H135" i="16"/>
  <c r="G133" i="16"/>
  <c r="G143" i="16" s="1"/>
  <c r="H133" i="16"/>
  <c r="G144" i="16" s="1"/>
  <c r="G135" i="16"/>
  <c r="H65" i="16"/>
  <c r="G155" i="16"/>
  <c r="G161" i="16"/>
  <c r="C69" i="16"/>
  <c r="C72" i="16"/>
  <c r="E13" i="16"/>
  <c r="E15" i="16" s="1"/>
  <c r="F11" i="16"/>
  <c r="G139" i="16"/>
  <c r="Q72" i="16"/>
  <c r="Q69" i="16"/>
  <c r="M72" i="16"/>
  <c r="M69" i="16"/>
  <c r="G147" i="16"/>
  <c r="G156" i="16"/>
  <c r="Z69" i="16"/>
  <c r="Z72" i="16"/>
  <c r="L72" i="16"/>
  <c r="L69" i="16"/>
  <c r="V72" i="16"/>
  <c r="V69" i="16"/>
  <c r="E72" i="16"/>
  <c r="E69" i="16"/>
  <c r="G141" i="16"/>
  <c r="G150" i="16"/>
  <c r="F76" i="16"/>
  <c r="F89" i="16"/>
  <c r="D181" i="16"/>
  <c r="E181" i="16"/>
  <c r="T31" i="3" s="1"/>
  <c r="T72" i="16"/>
  <c r="T69" i="16"/>
  <c r="G149" i="16"/>
  <c r="O72" i="16"/>
  <c r="O69" i="16"/>
  <c r="I72" i="16"/>
  <c r="I69" i="16"/>
  <c r="G145" i="16"/>
  <c r="D72" i="16"/>
  <c r="D69" i="16"/>
  <c r="U72" i="16"/>
  <c r="U69" i="16"/>
  <c r="X79" i="16"/>
  <c r="X80" i="16" s="1"/>
  <c r="S89" i="16"/>
  <c r="S76" i="16"/>
  <c r="N72" i="16"/>
  <c r="N69" i="16"/>
  <c r="G148" i="16"/>
  <c r="H89" i="16"/>
  <c r="H76" i="16"/>
  <c r="R79" i="16"/>
  <c r="R80" i="16" s="1"/>
  <c r="G162" i="16"/>
  <c r="G153" i="16"/>
  <c r="K72" i="16"/>
  <c r="K69" i="16"/>
  <c r="D168" i="16"/>
  <c r="E168" i="16"/>
  <c r="T18" i="3" s="1"/>
  <c r="G157" i="16"/>
  <c r="J79" i="16"/>
  <c r="J80" i="16" s="1"/>
  <c r="G140" i="16"/>
  <c r="C151" i="16"/>
  <c r="K156" i="16"/>
  <c r="C145" i="16"/>
  <c r="K160" i="16"/>
  <c r="C149" i="16"/>
  <c r="K141" i="16"/>
  <c r="K147" i="16"/>
  <c r="K162" i="16"/>
  <c r="K150" i="16"/>
  <c r="C144" i="16"/>
  <c r="C160" i="16"/>
  <c r="C140" i="16"/>
  <c r="C148" i="16"/>
  <c r="C141" i="16"/>
  <c r="K161" i="16"/>
  <c r="K149" i="16"/>
  <c r="K148" i="16"/>
  <c r="C139" i="16"/>
  <c r="K153" i="16"/>
  <c r="K143" i="16"/>
  <c r="C153" i="16"/>
  <c r="C147" i="16"/>
  <c r="C158" i="16"/>
  <c r="K157" i="16"/>
  <c r="C156" i="16"/>
  <c r="C150" i="16"/>
  <c r="K140" i="16"/>
  <c r="K151" i="16"/>
  <c r="K139" i="16"/>
  <c r="C162" i="16"/>
  <c r="K145" i="16"/>
  <c r="C161" i="16"/>
  <c r="C157" i="16"/>
  <c r="K158" i="16"/>
  <c r="P69" i="16" l="1"/>
  <c r="W76" i="16"/>
  <c r="W79" i="16" s="1"/>
  <c r="W80" i="16" s="1"/>
  <c r="P89" i="16"/>
  <c r="G76" i="16"/>
  <c r="G79" i="16" s="1"/>
  <c r="D170" i="16"/>
  <c r="E170" i="16"/>
  <c r="T20" i="3" s="1"/>
  <c r="E186" i="16"/>
  <c r="T36" i="3" s="1"/>
  <c r="D186" i="16"/>
  <c r="E187" i="16"/>
  <c r="T37" i="3" s="1"/>
  <c r="D187" i="16"/>
  <c r="E165" i="16"/>
  <c r="D165" i="16"/>
  <c r="G45" i="3" s="1"/>
  <c r="G11" i="16"/>
  <c r="F13" i="16"/>
  <c r="F15" i="16" s="1"/>
  <c r="C76" i="16"/>
  <c r="C89" i="16"/>
  <c r="E174" i="16"/>
  <c r="T24" i="3" s="1"/>
  <c r="D174" i="16"/>
  <c r="D182" i="16"/>
  <c r="E182" i="16"/>
  <c r="T32" i="3" s="1"/>
  <c r="P79" i="16"/>
  <c r="P80" i="16" s="1"/>
  <c r="D166" i="16"/>
  <c r="E166" i="16"/>
  <c r="T16" i="3" s="1"/>
  <c r="E183" i="16"/>
  <c r="T33" i="3" s="1"/>
  <c r="D183" i="16"/>
  <c r="K89" i="16"/>
  <c r="K76" i="16"/>
  <c r="N76" i="16"/>
  <c r="N89" i="16"/>
  <c r="I76" i="16"/>
  <c r="I89" i="16"/>
  <c r="F79" i="16"/>
  <c r="F80" i="16" s="1"/>
  <c r="V76" i="16"/>
  <c r="V89" i="16"/>
  <c r="E176" i="16"/>
  <c r="T26" i="3" s="1"/>
  <c r="D176" i="16"/>
  <c r="L76" i="16"/>
  <c r="L89" i="16"/>
  <c r="E188" i="16"/>
  <c r="D188" i="16"/>
  <c r="D171" i="16"/>
  <c r="E171" i="16"/>
  <c r="T21" i="3" s="1"/>
  <c r="T76" i="16"/>
  <c r="T89" i="16"/>
  <c r="E89" i="16"/>
  <c r="E76" i="16"/>
  <c r="E184" i="16"/>
  <c r="T34" i="3" s="1"/>
  <c r="D184" i="16"/>
  <c r="D173" i="16"/>
  <c r="E173" i="16"/>
  <c r="T23" i="3" s="1"/>
  <c r="S79" i="16"/>
  <c r="S80" i="16" s="1"/>
  <c r="Q76" i="16"/>
  <c r="Q89" i="16"/>
  <c r="U76" i="16"/>
  <c r="U89" i="16"/>
  <c r="O76" i="16"/>
  <c r="O89" i="16"/>
  <c r="H79" i="16"/>
  <c r="Z76" i="16"/>
  <c r="Z89" i="16"/>
  <c r="M89" i="16"/>
  <c r="M76" i="16"/>
  <c r="E177" i="16"/>
  <c r="T27" i="3" s="1"/>
  <c r="D177" i="16"/>
  <c r="D179" i="16"/>
  <c r="E179" i="16"/>
  <c r="T29" i="3" s="1"/>
  <c r="D89" i="16"/>
  <c r="D76" i="16"/>
  <c r="D175" i="16"/>
  <c r="E175" i="16"/>
  <c r="T25" i="3" s="1"/>
  <c r="D167" i="16"/>
  <c r="E167" i="16"/>
  <c r="T17" i="3" s="1"/>
  <c r="C45" i="3"/>
  <c r="C143" i="16"/>
  <c r="G80" i="16" l="1"/>
  <c r="E169" i="16"/>
  <c r="T19" i="3" s="1"/>
  <c r="D169" i="16"/>
  <c r="T15" i="3"/>
  <c r="C79" i="16"/>
  <c r="G13" i="16"/>
  <c r="G15" i="16" s="1"/>
  <c r="H11" i="16"/>
  <c r="Z79" i="16"/>
  <c r="Z80" i="16" s="1"/>
  <c r="E79" i="16"/>
  <c r="E80" i="16" s="1"/>
  <c r="U79" i="16"/>
  <c r="U80" i="16" s="1"/>
  <c r="V79" i="16"/>
  <c r="V80" i="16" s="1"/>
  <c r="N79" i="16"/>
  <c r="N80" i="16" s="1"/>
  <c r="H80" i="16"/>
  <c r="K79" i="16"/>
  <c r="K80" i="16" s="1"/>
  <c r="D79" i="16"/>
  <c r="T79" i="16"/>
  <c r="L79" i="16"/>
  <c r="L80" i="16" s="1"/>
  <c r="Q79" i="16"/>
  <c r="O79" i="16"/>
  <c r="O80" i="16" s="1"/>
  <c r="I79" i="16"/>
  <c r="M79" i="16"/>
  <c r="M80" i="16" s="1"/>
  <c r="W15" i="3"/>
  <c r="Y14" i="3"/>
  <c r="Y15" i="3"/>
  <c r="H13" i="16" l="1"/>
  <c r="H15" i="16" s="1"/>
  <c r="I11" i="16"/>
  <c r="C80" i="16"/>
  <c r="C81" i="16" s="1"/>
  <c r="C90" i="16" s="1"/>
  <c r="C91" i="16" s="1"/>
  <c r="D88" i="16" s="1"/>
  <c r="D80" i="16"/>
  <c r="I80" i="16"/>
  <c r="T80" i="16"/>
  <c r="Q80" i="16"/>
  <c r="Y16" i="3"/>
  <c r="W16" i="3"/>
  <c r="D81" i="16" l="1"/>
  <c r="D90" i="16" s="1"/>
  <c r="D91" i="16" s="1"/>
  <c r="E88" i="16" s="1"/>
  <c r="E81" i="16" s="1"/>
  <c r="E90" i="16" s="1"/>
  <c r="E91" i="16" s="1"/>
  <c r="F88" i="16" s="1"/>
  <c r="F81" i="16" s="1"/>
  <c r="C84" i="16"/>
  <c r="C86" i="16" s="1"/>
  <c r="C132" i="16" s="1"/>
  <c r="I13" i="16"/>
  <c r="I15" i="16" s="1"/>
  <c r="J11" i="16"/>
  <c r="W17" i="3"/>
  <c r="Y17" i="3"/>
  <c r="E84" i="16" l="1"/>
  <c r="E86" i="16" s="1"/>
  <c r="E108" i="16" s="1"/>
  <c r="D84" i="16"/>
  <c r="D86" i="16" s="1"/>
  <c r="D107" i="16" s="1"/>
  <c r="C108" i="16"/>
  <c r="C107" i="16"/>
  <c r="C134" i="16"/>
  <c r="H139" i="16"/>
  <c r="K11" i="16"/>
  <c r="J13" i="16"/>
  <c r="J15" i="16" s="1"/>
  <c r="F90" i="16"/>
  <c r="F91" i="16" s="1"/>
  <c r="G88" i="16" s="1"/>
  <c r="F84" i="16"/>
  <c r="F86" i="16" s="1"/>
  <c r="Y18" i="3"/>
  <c r="C128" i="16"/>
  <c r="C127" i="16"/>
  <c r="W18" i="3"/>
  <c r="C126" i="16"/>
  <c r="C129" i="16"/>
  <c r="L139" i="16"/>
  <c r="D139" i="16"/>
  <c r="E132" i="16" l="1"/>
  <c r="E107" i="16"/>
  <c r="D108" i="16"/>
  <c r="D132" i="16"/>
  <c r="H140" i="16" s="1"/>
  <c r="K13" i="16"/>
  <c r="K15" i="16" s="1"/>
  <c r="L11" i="16"/>
  <c r="C165" i="16"/>
  <c r="F107" i="16"/>
  <c r="F132" i="16"/>
  <c r="F108" i="16"/>
  <c r="G81" i="16"/>
  <c r="Y19" i="3"/>
  <c r="L141" i="16"/>
  <c r="W19" i="3"/>
  <c r="E14" i="3"/>
  <c r="D141" i="16"/>
  <c r="E134" i="16" l="1"/>
  <c r="C167" i="16"/>
  <c r="H141" i="16"/>
  <c r="D134" i="16"/>
  <c r="H45" i="3"/>
  <c r="L13" i="16"/>
  <c r="L15" i="16" s="1"/>
  <c r="M11" i="16"/>
  <c r="F134" i="16"/>
  <c r="H142" i="16"/>
  <c r="G90" i="16"/>
  <c r="G91" i="16" s="1"/>
  <c r="H88" i="16" s="1"/>
  <c r="G84" i="16"/>
  <c r="G86" i="16" s="1"/>
  <c r="Y20" i="3"/>
  <c r="F129" i="16"/>
  <c r="H73" i="3"/>
  <c r="D142" i="16"/>
  <c r="H14" i="3"/>
  <c r="L140" i="16"/>
  <c r="E128" i="16"/>
  <c r="E129" i="16"/>
  <c r="W20" i="3"/>
  <c r="D140" i="16"/>
  <c r="D127" i="16"/>
  <c r="F127" i="16"/>
  <c r="F126" i="16"/>
  <c r="L142" i="16"/>
  <c r="D128" i="16"/>
  <c r="D129" i="16"/>
  <c r="E127" i="16"/>
  <c r="F128" i="16"/>
  <c r="E126" i="16"/>
  <c r="D126" i="16"/>
  <c r="G73" i="3"/>
  <c r="C166" i="16" l="1"/>
  <c r="N11" i="16"/>
  <c r="M13" i="16"/>
  <c r="M15" i="16" s="1"/>
  <c r="M14" i="3"/>
  <c r="C168" i="16"/>
  <c r="G107" i="16"/>
  <c r="G132" i="16"/>
  <c r="G108" i="16"/>
  <c r="H81" i="16"/>
  <c r="E15" i="3"/>
  <c r="Y21" i="3"/>
  <c r="E45" i="3"/>
  <c r="W21" i="3"/>
  <c r="E17" i="3"/>
  <c r="N14" i="3" l="1"/>
  <c r="N13" i="16"/>
  <c r="N15" i="16" s="1"/>
  <c r="O11" i="16"/>
  <c r="G134" i="16"/>
  <c r="H143" i="16"/>
  <c r="H90" i="16"/>
  <c r="H91" i="16" s="1"/>
  <c r="I88" i="16" s="1"/>
  <c r="H84" i="16"/>
  <c r="H86" i="16" s="1"/>
  <c r="G129" i="16"/>
  <c r="G126" i="16"/>
  <c r="L143" i="16"/>
  <c r="W22" i="3"/>
  <c r="G127" i="16"/>
  <c r="E16" i="3"/>
  <c r="Y22" i="3"/>
  <c r="F15" i="3"/>
  <c r="G128" i="16"/>
  <c r="D143" i="16"/>
  <c r="D15" i="3" l="1"/>
  <c r="O13" i="16"/>
  <c r="O15" i="16" s="1"/>
  <c r="P11" i="16"/>
  <c r="I15" i="3"/>
  <c r="H46" i="3"/>
  <c r="H108" i="16"/>
  <c r="H107" i="16"/>
  <c r="H132" i="16"/>
  <c r="C169" i="16"/>
  <c r="I81" i="16"/>
  <c r="E18" i="3"/>
  <c r="Y23" i="3"/>
  <c r="W23" i="3"/>
  <c r="L15" i="3"/>
  <c r="O14" i="3"/>
  <c r="D45" i="3"/>
  <c r="G15" i="3"/>
  <c r="H15" i="3"/>
  <c r="M15" i="3" l="1"/>
  <c r="G46" i="3"/>
  <c r="E73" i="3"/>
  <c r="P13" i="16"/>
  <c r="P15" i="16" s="1"/>
  <c r="Q11" i="16"/>
  <c r="I90" i="16"/>
  <c r="I91" i="16" s="1"/>
  <c r="J88" i="16" s="1"/>
  <c r="I84" i="16"/>
  <c r="I86" i="16" s="1"/>
  <c r="H134" i="16"/>
  <c r="H144" i="16"/>
  <c r="H128" i="16"/>
  <c r="W24" i="3"/>
  <c r="L144" i="16"/>
  <c r="C73" i="3"/>
  <c r="F73" i="3"/>
  <c r="H129" i="16"/>
  <c r="F16" i="3"/>
  <c r="E46" i="3"/>
  <c r="H127" i="16"/>
  <c r="D144" i="16"/>
  <c r="H126" i="16"/>
  <c r="Y24" i="3"/>
  <c r="D73" i="3"/>
  <c r="C46" i="3"/>
  <c r="N15" i="3" l="1"/>
  <c r="Q13" i="16"/>
  <c r="Q15" i="16" s="1"/>
  <c r="R11" i="16"/>
  <c r="C170" i="16"/>
  <c r="I132" i="16"/>
  <c r="I107" i="16"/>
  <c r="I108" i="16"/>
  <c r="J81" i="16"/>
  <c r="H47" i="3"/>
  <c r="I16" i="3"/>
  <c r="D16" i="3"/>
  <c r="Y25" i="3"/>
  <c r="L16" i="3"/>
  <c r="E19" i="3"/>
  <c r="G16" i="3"/>
  <c r="G74" i="3"/>
  <c r="H74" i="3"/>
  <c r="O15" i="3"/>
  <c r="W25" i="3"/>
  <c r="R13" i="16" l="1"/>
  <c r="R15" i="16" s="1"/>
  <c r="S11" i="16"/>
  <c r="I134" i="16"/>
  <c r="H145" i="16"/>
  <c r="J90" i="16"/>
  <c r="J91" i="16" s="1"/>
  <c r="K88" i="16" s="1"/>
  <c r="J84" i="16"/>
  <c r="J86" i="16" s="1"/>
  <c r="W26" i="3"/>
  <c r="I129" i="16"/>
  <c r="I126" i="16"/>
  <c r="L145" i="16"/>
  <c r="D46" i="3"/>
  <c r="I127" i="16"/>
  <c r="H16" i="3"/>
  <c r="Y26" i="3"/>
  <c r="D145" i="16"/>
  <c r="I128" i="16"/>
  <c r="G47" i="3" l="1"/>
  <c r="E74" i="3"/>
  <c r="T11" i="16"/>
  <c r="S13" i="16"/>
  <c r="S15" i="16" s="1"/>
  <c r="C171" i="16"/>
  <c r="K81" i="16"/>
  <c r="J132" i="16"/>
  <c r="J108" i="16"/>
  <c r="J107" i="16"/>
  <c r="M16" i="3"/>
  <c r="E47" i="3"/>
  <c r="Y27" i="3"/>
  <c r="F74" i="3"/>
  <c r="E20" i="3"/>
  <c r="D74" i="3"/>
  <c r="H75" i="3"/>
  <c r="C74" i="3"/>
  <c r="W27" i="3"/>
  <c r="G75" i="3"/>
  <c r="C47" i="3"/>
  <c r="T13" i="16" l="1"/>
  <c r="T15" i="16" s="1"/>
  <c r="U11" i="16"/>
  <c r="K90" i="16"/>
  <c r="K91" i="16" s="1"/>
  <c r="L88" i="16" s="1"/>
  <c r="K84" i="16"/>
  <c r="K86" i="16" s="1"/>
  <c r="J134" i="16"/>
  <c r="H146" i="16"/>
  <c r="N16" i="3"/>
  <c r="J126" i="16"/>
  <c r="Y28" i="3"/>
  <c r="J127" i="16"/>
  <c r="D146" i="16"/>
  <c r="L146" i="16"/>
  <c r="J129" i="16"/>
  <c r="J128" i="16"/>
  <c r="F17" i="3"/>
  <c r="W28" i="3"/>
  <c r="V11" i="16" l="1"/>
  <c r="U13" i="16"/>
  <c r="U15" i="16" s="1"/>
  <c r="C172" i="16"/>
  <c r="K132" i="16"/>
  <c r="K108" i="16"/>
  <c r="K107" i="16"/>
  <c r="L81" i="16"/>
  <c r="H48" i="3"/>
  <c r="I17" i="3"/>
  <c r="D17" i="3"/>
  <c r="O16" i="3"/>
  <c r="W29" i="3"/>
  <c r="Y29" i="3"/>
  <c r="D47" i="3"/>
  <c r="G17" i="3"/>
  <c r="L17" i="3"/>
  <c r="E21" i="3"/>
  <c r="V13" i="16" l="1"/>
  <c r="V15" i="16" s="1"/>
  <c r="W11" i="16"/>
  <c r="L90" i="16"/>
  <c r="L91" i="16" s="1"/>
  <c r="M88" i="16" s="1"/>
  <c r="L84" i="16"/>
  <c r="L86" i="16" s="1"/>
  <c r="G48" i="3"/>
  <c r="E75" i="3"/>
  <c r="K134" i="16"/>
  <c r="H147" i="16"/>
  <c r="C75" i="3"/>
  <c r="L147" i="16"/>
  <c r="D147" i="16"/>
  <c r="Y30" i="3"/>
  <c r="D75" i="3"/>
  <c r="K127" i="16"/>
  <c r="H76" i="3"/>
  <c r="F75" i="3"/>
  <c r="G76" i="3"/>
  <c r="K129" i="16"/>
  <c r="K126" i="16"/>
  <c r="H17" i="3"/>
  <c r="K128" i="16"/>
  <c r="W30" i="3"/>
  <c r="X11" i="16" l="1"/>
  <c r="W13" i="16"/>
  <c r="W15" i="16" s="1"/>
  <c r="L132" i="16"/>
  <c r="L107" i="16"/>
  <c r="L108" i="16"/>
  <c r="M81" i="16"/>
  <c r="C173" i="16"/>
  <c r="M17" i="3"/>
  <c r="W31" i="3"/>
  <c r="C48" i="3"/>
  <c r="E48" i="3"/>
  <c r="Y31" i="3"/>
  <c r="E22" i="3"/>
  <c r="X13" i="16" l="1"/>
  <c r="X15" i="16" s="1"/>
  <c r="Y11" i="16"/>
  <c r="N17" i="3"/>
  <c r="M90" i="16"/>
  <c r="M91" i="16" s="1"/>
  <c r="N88" i="16" s="1"/>
  <c r="M84" i="16"/>
  <c r="M86" i="16" s="1"/>
  <c r="H148" i="16"/>
  <c r="L134" i="16"/>
  <c r="L126" i="16"/>
  <c r="W32" i="3"/>
  <c r="L128" i="16"/>
  <c r="F18" i="3"/>
  <c r="D148" i="16"/>
  <c r="L148" i="16"/>
  <c r="Y32" i="3"/>
  <c r="L129" i="16"/>
  <c r="L127" i="16"/>
  <c r="Y13" i="16" l="1"/>
  <c r="Y15" i="16" s="1"/>
  <c r="Z11" i="16"/>
  <c r="Z13" i="16" s="1"/>
  <c r="Z15" i="16" s="1"/>
  <c r="H49" i="3"/>
  <c r="I18" i="3"/>
  <c r="C174" i="16"/>
  <c r="M132" i="16"/>
  <c r="M108" i="16"/>
  <c r="M107" i="16"/>
  <c r="N81" i="16"/>
  <c r="D18" i="3"/>
  <c r="G18" i="3"/>
  <c r="E23" i="3"/>
  <c r="W33" i="3"/>
  <c r="O17" i="3"/>
  <c r="D48" i="3"/>
  <c r="Y33" i="3"/>
  <c r="L18" i="3"/>
  <c r="G49" i="3" l="1"/>
  <c r="E76" i="3"/>
  <c r="N90" i="16"/>
  <c r="N91" i="16" s="1"/>
  <c r="O88" i="16" s="1"/>
  <c r="N84" i="16"/>
  <c r="N86" i="16" s="1"/>
  <c r="M134" i="16"/>
  <c r="H149" i="16"/>
  <c r="L149" i="16"/>
  <c r="C76" i="3"/>
  <c r="M127" i="16"/>
  <c r="M128" i="16"/>
  <c r="D149" i="16"/>
  <c r="Y34" i="3"/>
  <c r="H18" i="3"/>
  <c r="M129" i="16"/>
  <c r="W34" i="3"/>
  <c r="D76" i="3"/>
  <c r="M126" i="16"/>
  <c r="F76" i="3"/>
  <c r="C175" i="16" l="1"/>
  <c r="N108" i="16"/>
  <c r="N107" i="16"/>
  <c r="N132" i="16"/>
  <c r="O81" i="16"/>
  <c r="M18" i="3"/>
  <c r="G77" i="3"/>
  <c r="Y35" i="3"/>
  <c r="H77" i="3"/>
  <c r="E24" i="3"/>
  <c r="W35" i="3"/>
  <c r="E49" i="3"/>
  <c r="C49" i="3"/>
  <c r="O90" i="16" l="1"/>
  <c r="O91" i="16" s="1"/>
  <c r="P88" i="16" s="1"/>
  <c r="O84" i="16"/>
  <c r="O86" i="16" s="1"/>
  <c r="N134" i="16"/>
  <c r="H150" i="16"/>
  <c r="N18" i="3"/>
  <c r="N126" i="16"/>
  <c r="F19" i="3"/>
  <c r="D150" i="16"/>
  <c r="W36" i="3"/>
  <c r="Y36" i="3"/>
  <c r="N127" i="16"/>
  <c r="L150" i="16"/>
  <c r="N128" i="16"/>
  <c r="N129" i="16"/>
  <c r="O107" i="16" l="1"/>
  <c r="O132" i="16"/>
  <c r="O108" i="16"/>
  <c r="H50" i="3"/>
  <c r="I19" i="3"/>
  <c r="P81" i="16"/>
  <c r="C176" i="16"/>
  <c r="D19" i="3"/>
  <c r="W37" i="3"/>
  <c r="Y37" i="3"/>
  <c r="L19" i="3"/>
  <c r="G19" i="3"/>
  <c r="D49" i="3"/>
  <c r="O18" i="3"/>
  <c r="E25" i="3"/>
  <c r="P90" i="16" l="1"/>
  <c r="P91" i="16" s="1"/>
  <c r="Q88" i="16" s="1"/>
  <c r="P84" i="16"/>
  <c r="P86" i="16" s="1"/>
  <c r="H151" i="16"/>
  <c r="O134" i="16"/>
  <c r="G50" i="3"/>
  <c r="E77" i="3"/>
  <c r="D77" i="3"/>
  <c r="O126" i="16"/>
  <c r="O129" i="16"/>
  <c r="O127" i="16"/>
  <c r="D151" i="16"/>
  <c r="H19" i="3"/>
  <c r="L151" i="16"/>
  <c r="C77" i="3"/>
  <c r="F77" i="3"/>
  <c r="C50" i="3"/>
  <c r="O128" i="16"/>
  <c r="P132" i="16" l="1"/>
  <c r="P108" i="16"/>
  <c r="P107" i="16"/>
  <c r="C177" i="16"/>
  <c r="Q81" i="16"/>
  <c r="M19" i="3"/>
  <c r="E26" i="3"/>
  <c r="E50" i="3"/>
  <c r="H78" i="3"/>
  <c r="G78" i="3"/>
  <c r="N19" i="3" l="1"/>
  <c r="Q90" i="16"/>
  <c r="Q91" i="16" s="1"/>
  <c r="R88" i="16" s="1"/>
  <c r="Q84" i="16"/>
  <c r="Q86" i="16" s="1"/>
  <c r="H152" i="16"/>
  <c r="P134" i="16"/>
  <c r="P128" i="16"/>
  <c r="F20" i="3"/>
  <c r="P127" i="16"/>
  <c r="P126" i="16"/>
  <c r="L152" i="16"/>
  <c r="D152" i="16"/>
  <c r="P129" i="16"/>
  <c r="C178" i="16" l="1"/>
  <c r="Q132" i="16"/>
  <c r="Q108" i="16"/>
  <c r="Q107" i="16"/>
  <c r="R81" i="16"/>
  <c r="H51" i="3"/>
  <c r="I20" i="3"/>
  <c r="D20" i="3"/>
  <c r="E27" i="3"/>
  <c r="O19" i="3"/>
  <c r="L20" i="3"/>
  <c r="G20" i="3"/>
  <c r="D50" i="3"/>
  <c r="G51" i="3" l="1"/>
  <c r="E78" i="3"/>
  <c r="R90" i="16"/>
  <c r="R91" i="16" s="1"/>
  <c r="S88" i="16" s="1"/>
  <c r="R84" i="16"/>
  <c r="R86" i="16" s="1"/>
  <c r="Q134" i="16"/>
  <c r="H153" i="16"/>
  <c r="Q126" i="16"/>
  <c r="H79" i="3"/>
  <c r="Q129" i="16"/>
  <c r="Q127" i="16"/>
  <c r="C51" i="3"/>
  <c r="C78" i="3"/>
  <c r="L153" i="16"/>
  <c r="Q128" i="16"/>
  <c r="F78" i="3"/>
  <c r="H20" i="3"/>
  <c r="D153" i="16"/>
  <c r="D78" i="3"/>
  <c r="G79" i="3"/>
  <c r="C179" i="16" l="1"/>
  <c r="S81" i="16"/>
  <c r="R108" i="16"/>
  <c r="R132" i="16"/>
  <c r="R107" i="16"/>
  <c r="M20" i="3"/>
  <c r="E28" i="3"/>
  <c r="E51" i="3"/>
  <c r="S90" i="16" l="1"/>
  <c r="S91" i="16" s="1"/>
  <c r="T88" i="16" s="1"/>
  <c r="S84" i="16"/>
  <c r="S86" i="16" s="1"/>
  <c r="N20" i="3"/>
  <c r="R134" i="16"/>
  <c r="H154" i="16"/>
  <c r="F21" i="3"/>
  <c r="R129" i="16"/>
  <c r="R127" i="16"/>
  <c r="R128" i="16"/>
  <c r="L154" i="16"/>
  <c r="R126" i="16"/>
  <c r="D154" i="16"/>
  <c r="C180" i="16" l="1"/>
  <c r="S132" i="16"/>
  <c r="S107" i="16"/>
  <c r="S108" i="16"/>
  <c r="T81" i="16"/>
  <c r="H52" i="3"/>
  <c r="I21" i="3"/>
  <c r="D21" i="3"/>
  <c r="E29" i="3"/>
  <c r="D51" i="3"/>
  <c r="L21" i="3"/>
  <c r="G21" i="3"/>
  <c r="O20" i="3"/>
  <c r="G52" i="3" l="1"/>
  <c r="E79" i="3"/>
  <c r="T90" i="16"/>
  <c r="T91" i="16" s="1"/>
  <c r="U88" i="16" s="1"/>
  <c r="T84" i="16"/>
  <c r="T86" i="16" s="1"/>
  <c r="S134" i="16"/>
  <c r="H155" i="16"/>
  <c r="C52" i="3"/>
  <c r="S129" i="16"/>
  <c r="D155" i="16"/>
  <c r="S126" i="16"/>
  <c r="F79" i="3"/>
  <c r="D79" i="3"/>
  <c r="H21" i="3"/>
  <c r="S128" i="16"/>
  <c r="C79" i="3"/>
  <c r="S127" i="16"/>
  <c r="L155" i="16"/>
  <c r="C181" i="16" l="1"/>
  <c r="T132" i="16"/>
  <c r="T107" i="16"/>
  <c r="T108" i="16"/>
  <c r="U81" i="16"/>
  <c r="M21" i="3"/>
  <c r="E52" i="3"/>
  <c r="G80" i="3"/>
  <c r="E30" i="3"/>
  <c r="H80" i="3"/>
  <c r="T134" i="16" l="1"/>
  <c r="H156" i="16"/>
  <c r="N21" i="3"/>
  <c r="U90" i="16"/>
  <c r="U91" i="16" s="1"/>
  <c r="V88" i="16" s="1"/>
  <c r="U84" i="16"/>
  <c r="U86" i="16" s="1"/>
  <c r="T129" i="16"/>
  <c r="T126" i="16"/>
  <c r="D156" i="16"/>
  <c r="T128" i="16"/>
  <c r="F22" i="3"/>
  <c r="L156" i="16"/>
  <c r="T127" i="16"/>
  <c r="U108" i="16" l="1"/>
  <c r="U132" i="16"/>
  <c r="U107" i="16"/>
  <c r="V81" i="16"/>
  <c r="H53" i="3"/>
  <c r="I22" i="3"/>
  <c r="C182" i="16"/>
  <c r="D22" i="3"/>
  <c r="O21" i="3"/>
  <c r="L22" i="3"/>
  <c r="G22" i="3"/>
  <c r="D52" i="3"/>
  <c r="E31" i="3"/>
  <c r="V90" i="16" l="1"/>
  <c r="V91" i="16" s="1"/>
  <c r="W88" i="16" s="1"/>
  <c r="V84" i="16"/>
  <c r="V86" i="16" s="1"/>
  <c r="U134" i="16"/>
  <c r="H157" i="16"/>
  <c r="G53" i="3"/>
  <c r="E80" i="3"/>
  <c r="D157" i="16"/>
  <c r="C80" i="3"/>
  <c r="U126" i="16"/>
  <c r="H22" i="3"/>
  <c r="F80" i="3"/>
  <c r="L157" i="16"/>
  <c r="U128" i="16"/>
  <c r="C53" i="3"/>
  <c r="D80" i="3"/>
  <c r="U127" i="16"/>
  <c r="U129" i="16"/>
  <c r="C183" i="16" l="1"/>
  <c r="V132" i="16"/>
  <c r="V107" i="16"/>
  <c r="V108" i="16"/>
  <c r="W81" i="16"/>
  <c r="M22" i="3"/>
  <c r="E32" i="3"/>
  <c r="E53" i="3"/>
  <c r="G81" i="3"/>
  <c r="H81" i="3"/>
  <c r="W90" i="16" l="1"/>
  <c r="W91" i="16" s="1"/>
  <c r="X88" i="16" s="1"/>
  <c r="W84" i="16"/>
  <c r="W86" i="16" s="1"/>
  <c r="V134" i="16"/>
  <c r="H158" i="16"/>
  <c r="N22" i="3"/>
  <c r="L158" i="16"/>
  <c r="V127" i="16"/>
  <c r="F23" i="3"/>
  <c r="V128" i="16"/>
  <c r="V126" i="16"/>
  <c r="V129" i="16"/>
  <c r="D158" i="16"/>
  <c r="C184" i="16" l="1"/>
  <c r="X81" i="16"/>
  <c r="H54" i="3"/>
  <c r="I23" i="3"/>
  <c r="W107" i="16"/>
  <c r="W132" i="16"/>
  <c r="W108" i="16"/>
  <c r="D23" i="3"/>
  <c r="E33" i="3"/>
  <c r="D53" i="3"/>
  <c r="O22" i="3"/>
  <c r="L23" i="3"/>
  <c r="G23" i="3"/>
  <c r="H159" i="16" l="1"/>
  <c r="W134" i="16"/>
  <c r="X90" i="16"/>
  <c r="X91" i="16" s="1"/>
  <c r="Y88" i="16" s="1"/>
  <c r="X84" i="16"/>
  <c r="X86" i="16" s="1"/>
  <c r="G54" i="3"/>
  <c r="E81" i="3"/>
  <c r="L159" i="16"/>
  <c r="W127" i="16"/>
  <c r="D81" i="3"/>
  <c r="W126" i="16"/>
  <c r="C54" i="3"/>
  <c r="H23" i="3"/>
  <c r="C81" i="3"/>
  <c r="W128" i="16"/>
  <c r="F81" i="3"/>
  <c r="D159" i="16"/>
  <c r="W129" i="16"/>
  <c r="X132" i="16" l="1"/>
  <c r="X108" i="16"/>
  <c r="X107" i="16"/>
  <c r="Y81" i="16"/>
  <c r="C185" i="16"/>
  <c r="M23" i="3"/>
  <c r="E34" i="3"/>
  <c r="E54" i="3"/>
  <c r="G82" i="3"/>
  <c r="H82" i="3"/>
  <c r="N23" i="3" l="1"/>
  <c r="Y90" i="16"/>
  <c r="Y91" i="16" s="1"/>
  <c r="Z88" i="16" s="1"/>
  <c r="Y84" i="16"/>
  <c r="Y86" i="16" s="1"/>
  <c r="X134" i="16"/>
  <c r="H160" i="16"/>
  <c r="X129" i="16"/>
  <c r="X126" i="16"/>
  <c r="X127" i="16"/>
  <c r="D160" i="16"/>
  <c r="F24" i="3"/>
  <c r="L160" i="16"/>
  <c r="X128" i="16"/>
  <c r="C186" i="16" l="1"/>
  <c r="Z81" i="16"/>
  <c r="Y108" i="16"/>
  <c r="Y132" i="16"/>
  <c r="Y107" i="16"/>
  <c r="H55" i="3"/>
  <c r="I24" i="3"/>
  <c r="D24" i="3"/>
  <c r="E35" i="3"/>
  <c r="G24" i="3"/>
  <c r="L24" i="3"/>
  <c r="O23" i="3"/>
  <c r="D54" i="3"/>
  <c r="Z90" i="16" l="1"/>
  <c r="Z91" i="16" s="1"/>
  <c r="Z84" i="16"/>
  <c r="Z86" i="16" s="1"/>
  <c r="G55" i="3"/>
  <c r="E82" i="3"/>
  <c r="H161" i="16"/>
  <c r="Y134" i="16"/>
  <c r="C55" i="3"/>
  <c r="C82" i="3"/>
  <c r="F82" i="3"/>
  <c r="D161" i="16"/>
  <c r="Y128" i="16"/>
  <c r="Y129" i="16"/>
  <c r="Y126" i="16"/>
  <c r="H24" i="3"/>
  <c r="L161" i="16"/>
  <c r="Y127" i="16"/>
  <c r="D82" i="3"/>
  <c r="C187" i="16" l="1"/>
  <c r="Z108" i="16"/>
  <c r="Z132" i="16"/>
  <c r="Z107" i="16"/>
  <c r="M24" i="3"/>
  <c r="H83" i="3"/>
  <c r="E36" i="3"/>
  <c r="G83" i="3"/>
  <c r="E55" i="3"/>
  <c r="N24" i="3" l="1"/>
  <c r="Z134" i="16"/>
  <c r="H162" i="16"/>
  <c r="Z128" i="16"/>
  <c r="Z127" i="16"/>
  <c r="L162" i="16"/>
  <c r="Z126" i="16"/>
  <c r="Z129" i="16"/>
  <c r="D162" i="16"/>
  <c r="F25" i="3"/>
  <c r="H56" i="3" l="1"/>
  <c r="I25" i="3"/>
  <c r="C188" i="16"/>
  <c r="D25" i="3"/>
  <c r="L25" i="3"/>
  <c r="O24" i="3"/>
  <c r="D55" i="3"/>
  <c r="G25" i="3"/>
  <c r="E37" i="3"/>
  <c r="G56" i="3" l="1"/>
  <c r="E83" i="3"/>
  <c r="D83" i="3"/>
  <c r="C83" i="3"/>
  <c r="H25" i="3"/>
  <c r="E39" i="3"/>
  <c r="F83" i="3"/>
  <c r="C56" i="3"/>
  <c r="M25" i="3" l="1"/>
  <c r="E56" i="3"/>
  <c r="G84" i="3"/>
  <c r="H84" i="3"/>
  <c r="N25" i="3" l="1"/>
  <c r="F26" i="3"/>
  <c r="H57" i="3" l="1"/>
  <c r="I26" i="3"/>
  <c r="D26" i="3"/>
  <c r="L26" i="3"/>
  <c r="O25" i="3"/>
  <c r="D56" i="3"/>
  <c r="G26" i="3"/>
  <c r="G57" i="3" l="1"/>
  <c r="E84" i="3"/>
  <c r="C57" i="3"/>
  <c r="D84" i="3"/>
  <c r="C84" i="3"/>
  <c r="H26" i="3"/>
  <c r="F84" i="3"/>
  <c r="M26" i="3" l="1"/>
  <c r="E57" i="3"/>
  <c r="G85" i="3"/>
  <c r="H85" i="3"/>
  <c r="N26" i="3" l="1"/>
  <c r="F27" i="3"/>
  <c r="H58" i="3" l="1"/>
  <c r="I27" i="3"/>
  <c r="D27" i="3"/>
  <c r="G27" i="3"/>
  <c r="O26" i="3"/>
  <c r="L27" i="3"/>
  <c r="D57" i="3"/>
  <c r="G58" i="3" l="1"/>
  <c r="E85" i="3"/>
  <c r="C58" i="3"/>
  <c r="C85" i="3"/>
  <c r="D85" i="3"/>
  <c r="H27" i="3"/>
  <c r="F85" i="3"/>
  <c r="M27" i="3" l="1"/>
  <c r="E58" i="3"/>
  <c r="G86" i="3"/>
  <c r="H86" i="3"/>
  <c r="N27" i="3" l="1"/>
  <c r="F28" i="3"/>
  <c r="H59" i="3" l="1"/>
  <c r="I28" i="3"/>
  <c r="D28" i="3"/>
  <c r="O27" i="3"/>
  <c r="D58" i="3"/>
  <c r="L28" i="3"/>
  <c r="G28" i="3"/>
  <c r="G59" i="3" l="1"/>
  <c r="E86" i="3"/>
  <c r="C59" i="3"/>
  <c r="C86" i="3"/>
  <c r="D86" i="3"/>
  <c r="H28" i="3"/>
  <c r="F86" i="3"/>
  <c r="M28" i="3" l="1"/>
  <c r="E59" i="3"/>
  <c r="G87" i="3"/>
  <c r="H87" i="3"/>
  <c r="N28" i="3" l="1"/>
  <c r="F29" i="3"/>
  <c r="H60" i="3" l="1"/>
  <c r="I29" i="3"/>
  <c r="D29" i="3"/>
  <c r="L29" i="3"/>
  <c r="D59" i="3"/>
  <c r="G29" i="3"/>
  <c r="O28" i="3"/>
  <c r="G60" i="3" l="1"/>
  <c r="E87" i="3"/>
  <c r="F87" i="3"/>
  <c r="D87" i="3"/>
  <c r="C60" i="3"/>
  <c r="H29" i="3"/>
  <c r="C87" i="3"/>
  <c r="M29" i="3" l="1"/>
  <c r="E60" i="3"/>
  <c r="G88" i="3"/>
  <c r="H88" i="3"/>
  <c r="N29" i="3" l="1"/>
  <c r="F30" i="3"/>
  <c r="H61" i="3" l="1"/>
  <c r="I30" i="3"/>
  <c r="D30" i="3"/>
  <c r="G30" i="3"/>
  <c r="D60" i="3"/>
  <c r="O29" i="3"/>
  <c r="L30" i="3"/>
  <c r="G61" i="3" l="1"/>
  <c r="E88" i="3"/>
  <c r="D88" i="3"/>
  <c r="C88" i="3"/>
  <c r="C61" i="3"/>
  <c r="H30" i="3"/>
  <c r="F88" i="3"/>
  <c r="M30" i="3" l="1"/>
  <c r="E61" i="3"/>
  <c r="G89" i="3"/>
  <c r="H89" i="3"/>
  <c r="N30" i="3" l="1"/>
  <c r="F31" i="3"/>
  <c r="H62" i="3" l="1"/>
  <c r="I31" i="3"/>
  <c r="D31" i="3"/>
  <c r="G31" i="3"/>
  <c r="D61" i="3"/>
  <c r="L31" i="3"/>
  <c r="O30" i="3"/>
  <c r="G62" i="3" l="1"/>
  <c r="E89" i="3"/>
  <c r="F89" i="3"/>
  <c r="D89" i="3"/>
  <c r="C62" i="3"/>
  <c r="H31" i="3"/>
  <c r="C89" i="3"/>
  <c r="M31" i="3" l="1"/>
  <c r="E62" i="3"/>
  <c r="G90" i="3"/>
  <c r="H90" i="3"/>
  <c r="N31" i="3" l="1"/>
  <c r="F32" i="3"/>
  <c r="H63" i="3" l="1"/>
  <c r="I32" i="3"/>
  <c r="D32" i="3"/>
  <c r="G32" i="3"/>
  <c r="L32" i="3"/>
  <c r="O31" i="3"/>
  <c r="D62" i="3"/>
  <c r="G63" i="3" l="1"/>
  <c r="E90" i="3"/>
  <c r="C63" i="3"/>
  <c r="C90" i="3"/>
  <c r="D90" i="3"/>
  <c r="H32" i="3"/>
  <c r="F90" i="3"/>
  <c r="M32" i="3" l="1"/>
  <c r="E63" i="3"/>
  <c r="G91" i="3"/>
  <c r="H91" i="3"/>
  <c r="N32" i="3" l="1"/>
  <c r="F33" i="3"/>
  <c r="H64" i="3" l="1"/>
  <c r="I33" i="3"/>
  <c r="D33" i="3"/>
  <c r="L33" i="3"/>
  <c r="G33" i="3"/>
  <c r="D63" i="3"/>
  <c r="O32" i="3"/>
  <c r="G64" i="3" l="1"/>
  <c r="E91" i="3"/>
  <c r="F91" i="3"/>
  <c r="C91" i="3"/>
  <c r="C64" i="3"/>
  <c r="H33" i="3"/>
  <c r="D91" i="3"/>
  <c r="M33" i="3" l="1"/>
  <c r="E64" i="3"/>
  <c r="G92" i="3"/>
  <c r="H92" i="3"/>
  <c r="N33" i="3" l="1"/>
  <c r="F34" i="3"/>
  <c r="H65" i="3" l="1"/>
  <c r="I34" i="3"/>
  <c r="D34" i="3"/>
  <c r="O33" i="3"/>
  <c r="D64" i="3"/>
  <c r="G34" i="3"/>
  <c r="L34" i="3"/>
  <c r="G65" i="3" l="1"/>
  <c r="E92" i="3"/>
  <c r="D92" i="3"/>
  <c r="F92" i="3"/>
  <c r="C65" i="3"/>
  <c r="H34" i="3"/>
  <c r="C92" i="3"/>
  <c r="M34" i="3" l="1"/>
  <c r="E65" i="3"/>
  <c r="G93" i="3"/>
  <c r="H93" i="3"/>
  <c r="N34" i="3" l="1"/>
  <c r="F35" i="3"/>
  <c r="H66" i="3" l="1"/>
  <c r="I35" i="3"/>
  <c r="D35" i="3"/>
  <c r="G35" i="3"/>
  <c r="L35" i="3"/>
  <c r="O34" i="3"/>
  <c r="D65" i="3"/>
  <c r="G66" i="3" l="1"/>
  <c r="E93" i="3"/>
  <c r="D93" i="3"/>
  <c r="C93" i="3"/>
  <c r="C66" i="3"/>
  <c r="H35" i="3"/>
  <c r="F93" i="3"/>
  <c r="M35" i="3" l="1"/>
  <c r="E66" i="3"/>
  <c r="G94" i="3"/>
  <c r="H94" i="3"/>
  <c r="N35" i="3" l="1"/>
  <c r="F36" i="3"/>
  <c r="H67" i="3" l="1"/>
  <c r="I36" i="3"/>
  <c r="D36" i="3"/>
  <c r="L36" i="3"/>
  <c r="O35" i="3"/>
  <c r="G36" i="3"/>
  <c r="D66" i="3"/>
  <c r="G67" i="3" l="1"/>
  <c r="E94" i="3"/>
  <c r="F94" i="3"/>
  <c r="D94" i="3"/>
  <c r="C67" i="3"/>
  <c r="H36" i="3"/>
  <c r="C94" i="3"/>
  <c r="M36" i="3" l="1"/>
  <c r="E67" i="3"/>
  <c r="G95" i="3"/>
  <c r="H95" i="3"/>
  <c r="N36" i="3" l="1"/>
  <c r="F37" i="3"/>
  <c r="H68" i="3" l="1"/>
  <c r="I37" i="3"/>
  <c r="D37" i="3"/>
  <c r="L37" i="3"/>
  <c r="D67" i="3"/>
  <c r="G37" i="3"/>
  <c r="O36" i="3"/>
  <c r="AG3" i="5" l="1"/>
  <c r="A3" i="5"/>
  <c r="G68" i="3"/>
  <c r="E95" i="3"/>
  <c r="H37" i="3"/>
  <c r="C68" i="3"/>
  <c r="C95" i="3"/>
  <c r="D95" i="3"/>
  <c r="F95" i="3"/>
  <c r="M37" i="3" l="1"/>
  <c r="N37" i="3" s="1"/>
  <c r="H96" i="3"/>
  <c r="G96" i="3"/>
  <c r="E68" i="3"/>
  <c r="H39" i="3"/>
  <c r="E72" i="3" l="1"/>
  <c r="E96" i="3"/>
  <c r="O37" i="3"/>
  <c r="F72" i="3"/>
  <c r="D96" i="3"/>
  <c r="C72" i="3"/>
  <c r="C96" i="3"/>
  <c r="I39" i="3"/>
  <c r="D72" i="3"/>
  <c r="D68" i="3"/>
  <c r="F96" i="3"/>
  <c r="J39" i="3"/>
  <c r="K39" i="3"/>
</calcChain>
</file>

<file path=xl/comments1.xml><?xml version="1.0" encoding="utf-8"?>
<comments xmlns="http://schemas.openxmlformats.org/spreadsheetml/2006/main">
  <authors>
    <author>David W Herbert (DOR)</author>
  </authors>
  <commentList>
    <comment ref="T7" authorId="0" shapeId="0">
      <text>
        <r>
          <rPr>
            <b/>
            <sz val="9"/>
            <color indexed="81"/>
            <rFont val="Tahoma"/>
            <family val="2"/>
          </rPr>
          <t>@RISK Correlation StattoTotalReturn
Updated: 12/23/2015 3:50:33 PM</t>
        </r>
      </text>
    </comment>
  </commentList>
</comments>
</file>

<file path=xl/comments2.xml><?xml version="1.0" encoding="utf-8"?>
<comments xmlns="http://schemas.openxmlformats.org/spreadsheetml/2006/main">
  <authors>
    <author>Author</author>
  </authors>
  <commentList>
    <comment ref="A58" authorId="0" shapeId="0">
      <text>
        <r>
          <rPr>
            <b/>
            <sz val="8"/>
            <color indexed="81"/>
            <rFont val="Tahoma"/>
            <family val="2"/>
          </rPr>
          <t>Author:</t>
        </r>
        <r>
          <rPr>
            <sz val="8"/>
            <color indexed="81"/>
            <rFont val="Tahoma"/>
            <family val="2"/>
          </rPr>
          <t xml:space="preserve">
this adjustment compensates for differences between company-specific calculation and "shortcut" calculation, at the forecast price.</t>
        </r>
      </text>
    </comment>
    <comment ref="B61" authorId="0" shapeId="0">
      <text>
        <r>
          <rPr>
            <b/>
            <sz val="8"/>
            <color indexed="81"/>
            <rFont val="Tahoma"/>
            <family val="2"/>
          </rPr>
          <t>Author:</t>
        </r>
        <r>
          <rPr>
            <sz val="8"/>
            <color indexed="81"/>
            <rFont val="Tahoma"/>
            <family val="2"/>
          </rPr>
          <t xml:space="preserve">
without using the company-specific calculation, this calculation is misstated.  The other option is to hard-code</t>
        </r>
      </text>
    </comment>
    <comment ref="B62" authorId="0" shapeId="0">
      <text>
        <r>
          <rPr>
            <b/>
            <sz val="8"/>
            <color indexed="81"/>
            <rFont val="Tahoma"/>
            <family val="2"/>
          </rPr>
          <t>Author:</t>
        </r>
        <r>
          <rPr>
            <sz val="8"/>
            <color indexed="81"/>
            <rFont val="Tahoma"/>
            <family val="2"/>
          </rPr>
          <t xml:space="preserve">
without using the company-specific calculation, this calculation is misstated.  The other option is to hard-code</t>
        </r>
      </text>
    </comment>
    <comment ref="B71" authorId="0" shapeId="0">
      <text>
        <r>
          <rPr>
            <b/>
            <sz val="8"/>
            <color indexed="81"/>
            <rFont val="Tahoma"/>
            <family val="2"/>
          </rPr>
          <t>Author:</t>
        </r>
        <r>
          <rPr>
            <sz val="8"/>
            <color indexed="81"/>
            <rFont val="Tahoma"/>
            <family val="2"/>
          </rPr>
          <t xml:space="preserve">
without using the company-specific calculation, this calculation is misstated.  The other option is to hard-code</t>
        </r>
      </text>
    </comment>
    <comment ref="B78" authorId="0" shapeId="0">
      <text>
        <r>
          <rPr>
            <b/>
            <sz val="8"/>
            <color indexed="81"/>
            <rFont val="Tahoma"/>
            <family val="2"/>
          </rPr>
          <t>Author:</t>
        </r>
        <r>
          <rPr>
            <sz val="8"/>
            <color indexed="81"/>
            <rFont val="Tahoma"/>
            <family val="2"/>
          </rPr>
          <t xml:space="preserve">
without using the company-specific calculation, this calculation is misstated.  The other option is to hard-code</t>
        </r>
      </text>
    </comment>
    <comment ref="B79" authorId="0" shapeId="0">
      <text>
        <r>
          <rPr>
            <b/>
            <sz val="8"/>
            <color indexed="81"/>
            <rFont val="Tahoma"/>
            <family val="2"/>
          </rPr>
          <t>Author:</t>
        </r>
        <r>
          <rPr>
            <sz val="8"/>
            <color indexed="81"/>
            <rFont val="Tahoma"/>
            <family val="2"/>
          </rPr>
          <t xml:space="preserve">
without using the company-specific calculation, this calculation is misstated.  The other option is to hard-code</t>
        </r>
      </text>
    </comment>
    <comment ref="B80" authorId="0" shapeId="0">
      <text>
        <r>
          <rPr>
            <b/>
            <sz val="8"/>
            <color indexed="81"/>
            <rFont val="Tahoma"/>
            <family val="2"/>
          </rPr>
          <t>Author:</t>
        </r>
        <r>
          <rPr>
            <sz val="8"/>
            <color indexed="81"/>
            <rFont val="Tahoma"/>
            <family val="2"/>
          </rPr>
          <t xml:space="preserve">
without using the company-specific calculation, this calculation is misstated.  The other option is to hard-code</t>
        </r>
      </text>
    </comment>
    <comment ref="B81" authorId="0" shapeId="0">
      <text>
        <r>
          <rPr>
            <b/>
            <sz val="8"/>
            <color indexed="81"/>
            <rFont val="Tahoma"/>
            <family val="2"/>
          </rPr>
          <t>Author:</t>
        </r>
        <r>
          <rPr>
            <sz val="8"/>
            <color indexed="81"/>
            <rFont val="Tahoma"/>
            <family val="2"/>
          </rPr>
          <t xml:space="preserve">
without using the company-specific calculation, this calculation is misstated.  The other option is to hard-code</t>
        </r>
      </text>
    </comment>
    <comment ref="B82" authorId="0" shapeId="0">
      <text>
        <r>
          <rPr>
            <b/>
            <sz val="8"/>
            <color indexed="81"/>
            <rFont val="Tahoma"/>
            <family val="2"/>
          </rPr>
          <t>Author:</t>
        </r>
        <r>
          <rPr>
            <sz val="8"/>
            <color indexed="81"/>
            <rFont val="Tahoma"/>
            <family val="2"/>
          </rPr>
          <t xml:space="preserve">
without using the company-specific calculation, this calculation is misstated. </t>
        </r>
      </text>
    </comment>
    <comment ref="B83" authorId="0" shapeId="0">
      <text>
        <r>
          <rPr>
            <b/>
            <sz val="8"/>
            <color indexed="81"/>
            <rFont val="Tahoma"/>
            <family val="2"/>
          </rPr>
          <t>Author:</t>
        </r>
        <r>
          <rPr>
            <sz val="8"/>
            <color indexed="81"/>
            <rFont val="Tahoma"/>
            <family val="2"/>
          </rPr>
          <t xml:space="preserve">
without using the company-specific calculation, this calculation is misstated. </t>
        </r>
      </text>
    </comment>
    <comment ref="B94" authorId="0" shapeId="0">
      <text>
        <r>
          <rPr>
            <b/>
            <sz val="8"/>
            <color indexed="81"/>
            <rFont val="Tahoma"/>
            <family val="2"/>
          </rPr>
          <t>Author:</t>
        </r>
        <r>
          <rPr>
            <sz val="8"/>
            <color indexed="81"/>
            <rFont val="Tahoma"/>
            <family val="2"/>
          </rPr>
          <t xml:space="preserve">
without using the company-specific calculation, this calculation is misstated. </t>
        </r>
      </text>
    </comment>
  </commentList>
</comments>
</file>

<file path=xl/sharedStrings.xml><?xml version="1.0" encoding="utf-8"?>
<sst xmlns="http://schemas.openxmlformats.org/spreadsheetml/2006/main" count="468" uniqueCount="337">
  <si>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</si>
  <si>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</si>
  <si>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</si>
  <si>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</si>
  <si>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</si>
  <si>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</si>
  <si>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</si>
  <si>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</si>
  <si>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</si>
  <si>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</si>
  <si>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</si>
  <si>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</si>
  <si>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</si>
  <si>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</si>
  <si>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</si>
  <si>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</si>
  <si>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</si>
  <si>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</si>
  <si>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</si>
  <si>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</si>
  <si>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</si>
  <si>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</si>
  <si>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</si>
  <si>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</si>
  <si>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Expenses</t>
  </si>
  <si>
    <t>Starting Assets</t>
  </si>
  <si>
    <t>&gt;75%</t>
  </si>
  <si>
    <t>&lt;25%</t>
  </si>
  <si>
    <t>&gt;90%</t>
  </si>
  <si>
    <t>GF1_rK0qDwEADgDZAAwjACYAOwBaAG4AbwB9AIsAswDVAM8AKgD//wAAAAAAAQQAAAAAB0dlbmVyYWwAAAABGVllYXIgMjQgLyBBc3NldCBCYXNlIFJlYWwBAAEBEAACAAEKU3RhdGlzdGljcwMBAQD/AQEBAQEAAQEBAAQAAAABAQEBAQABAQEABAAAAAGPAAIgABlZZWFyIDI0IC8gQXNzZXQgQmFzZSBSZWFsAAAvAQIAAgC7AMUAAQECAZqZmZmZmak/AABmZmZmZmbuPwAABQABAQEAAQEBAA==</t>
  </si>
  <si>
    <t>GF1_rK0qDwEADgC6AAwjACYANgBIAFwAXQBrAHkAlAC2ALAAKgD//wAAAAAAAQQAAAAAAjAlAAAAAQxzaG9ydCBvdXRwdXQBAAEBEAACAAEKU3RhdGlzdGljcwMBAQD/AQEBAQEAAQEBAAQAAAABAQEBAQABAQEABAAAAAF9AAITAAxzaG9ydCBvdXRwdXQAAC8BAgACAJwApgABAQIBmpmZmZmZqT8AAGZmZmZmZu4/AAAFAAEBAQABAQEA</t>
  </si>
  <si>
    <t>Allowance Inflation</t>
  </si>
  <si>
    <t>Payout</t>
  </si>
  <si>
    <t>GF1_rK0qDwEADgDhAAwjACYAOwBeAHIAcwCBAI8AuwDdANcAKgD//wAAAAAAAQQAAAAAB0dlbmVyYWwAAAABHVllYXIgMjQgLyBNb25leSBvdXQgZm9yIG90aGVyAQABARAAAgABClN0YXRpc3RpY3MDAQEA/wEBAQEBAAEBAQAEAAAAAQEBAQEAAQEBAAQAAAABkwACJAAdWWVhciAyNCAvIE1vbmV5IG91dCBmb3Igb3RoZXIAAC8BAgACAMMAzQABAQIBmpmZmZmZqT8AAGZmZmZmZu4/AAAFAAEBAQABAQEA</t>
  </si>
  <si>
    <t>Inflation Delay</t>
  </si>
  <si>
    <t>Standard Deviation</t>
  </si>
  <si>
    <t>Principal</t>
  </si>
  <si>
    <t>Earnings Reserve</t>
  </si>
  <si>
    <t>Unrealized Earnings</t>
  </si>
  <si>
    <t>Intercept</t>
  </si>
  <si>
    <t>Investment Revenue</t>
  </si>
  <si>
    <t>Statutory Earning</t>
  </si>
  <si>
    <t>@RISK Correlations</t>
  </si>
  <si>
    <t>High 10%</t>
  </si>
  <si>
    <t>Low 10%</t>
  </si>
  <si>
    <t>Mid 50%</t>
  </si>
  <si>
    <t>Dividend Calculation</t>
  </si>
  <si>
    <t>Calculated</t>
  </si>
  <si>
    <t>Asset Base BOY Real</t>
  </si>
  <si>
    <t>Intentionally left blank</t>
  </si>
  <si>
    <t>Scope of the model</t>
  </si>
  <si>
    <t>There are three parts to the model</t>
  </si>
  <si>
    <t>Assumptions</t>
  </si>
  <si>
    <t>Projections model</t>
  </si>
  <si>
    <t>Back-up</t>
  </si>
  <si>
    <t>Technical requirements</t>
  </si>
  <si>
    <t>Next update : TBD</t>
  </si>
  <si>
    <t xml:space="preserve">Contains the assumptions made with respect to inputs </t>
  </si>
  <si>
    <t>Contains the model calculations and outputs</t>
  </si>
  <si>
    <t>Contains the key definitions and other crucial model related analysis</t>
  </si>
  <si>
    <t>Oil</t>
  </si>
  <si>
    <t>Price</t>
  </si>
  <si>
    <t>Production</t>
  </si>
  <si>
    <t>Earn rate</t>
  </si>
  <si>
    <t>Correlation matrix</t>
  </si>
  <si>
    <t>Year</t>
  </si>
  <si>
    <t>Year No.</t>
  </si>
  <si>
    <t>General</t>
  </si>
  <si>
    <t>Start year</t>
  </si>
  <si>
    <t>Input</t>
  </si>
  <si>
    <t>Calculation</t>
  </si>
  <si>
    <t>Legend</t>
  </si>
  <si>
    <t>Statutory rate</t>
  </si>
  <si>
    <t>Source</t>
  </si>
  <si>
    <t>Distribution</t>
  </si>
  <si>
    <t>PERT</t>
  </si>
  <si>
    <t>Note about source</t>
  </si>
  <si>
    <t>Cell linked to assumptions sheet</t>
  </si>
  <si>
    <t>High</t>
  </si>
  <si>
    <t>Medium</t>
  </si>
  <si>
    <t>Low</t>
  </si>
  <si>
    <t>Other important notes</t>
  </si>
  <si>
    <t>Link in the model</t>
  </si>
  <si>
    <t>Returns</t>
  </si>
  <si>
    <t>Volume</t>
  </si>
  <si>
    <t>Percentage</t>
  </si>
  <si>
    <t>$/barrel</t>
  </si>
  <si>
    <t>mmbbls/day</t>
  </si>
  <si>
    <t>Fund related</t>
  </si>
  <si>
    <t>Inflation delay</t>
  </si>
  <si>
    <t>Goes as input into Petroleum Model</t>
  </si>
  <si>
    <t>Million $</t>
  </si>
  <si>
    <t>Principal, earnings</t>
  </si>
  <si>
    <t>Unrealized earnings</t>
  </si>
  <si>
    <t>Starting value</t>
  </si>
  <si>
    <t>Model</t>
  </si>
  <si>
    <t>Key outputs</t>
  </si>
  <si>
    <t>Median values</t>
  </si>
  <si>
    <t>Contents</t>
  </si>
  <si>
    <t>Arithmetic Mean</t>
  </si>
  <si>
    <t>DOR analysis</t>
  </si>
  <si>
    <t>Callan deterministic (Dec 2015)</t>
  </si>
  <si>
    <t>DOR/ERG (Fall 2015)</t>
  </si>
  <si>
    <t>Dividend Inputs</t>
  </si>
  <si>
    <t>Program Costs</t>
  </si>
  <si>
    <t>Number of Recipients</t>
  </si>
  <si>
    <t>Callan probabilistic Dec 2015)</t>
  </si>
  <si>
    <t>Inflation Rate</t>
  </si>
  <si>
    <t>Starting Payout Amount</t>
  </si>
  <si>
    <t>Initial Payout</t>
  </si>
  <si>
    <t>Petroleum Deposits</t>
  </si>
  <si>
    <t>Per Person Dividend</t>
  </si>
  <si>
    <t>Total Return</t>
  </si>
  <si>
    <t>Asset Base BOY</t>
  </si>
  <si>
    <t>AM HESS Transfer</t>
  </si>
  <si>
    <t>General Fund Transfer</t>
  </si>
  <si>
    <t>General Fund Transfer Real</t>
  </si>
  <si>
    <t>Change in Asset Base</t>
  </si>
  <si>
    <t>Asset Base EOY</t>
  </si>
  <si>
    <t>Asset Base EOY Real</t>
  </si>
  <si>
    <t>Payout Amount</t>
  </si>
  <si>
    <t>Principal Deposits</t>
  </si>
  <si>
    <t>Statutory Return</t>
  </si>
  <si>
    <t>Funds for Dividend</t>
  </si>
  <si>
    <t>Initial 2017 Expenses</t>
  </si>
  <si>
    <t>Number of Years, Times Payout Rule</t>
  </si>
  <si>
    <t>Fixed</t>
  </si>
  <si>
    <t>End of Year Account Balances</t>
  </si>
  <si>
    <t>Initial Value</t>
  </si>
  <si>
    <t>Totals Over Time Horizon</t>
  </si>
  <si>
    <t>Lowest Earning Reserve</t>
  </si>
  <si>
    <t>Risk Target Result from Last Run</t>
  </si>
  <si>
    <t>Mean Result from Last Run</t>
  </si>
  <si>
    <t>Binary Fail Checker</t>
  </si>
  <si>
    <t>Did the ER decrease?</t>
  </si>
  <si>
    <t>Entire Period</t>
  </si>
  <si>
    <t>Years in ER</t>
  </si>
  <si>
    <t>FALL 2015</t>
  </si>
  <si>
    <t>REVENUE FORECAST</t>
  </si>
  <si>
    <t>PRODUCTION/REVENUE MONTH/FY</t>
  </si>
  <si>
    <t>Days in Production Month/Year</t>
  </si>
  <si>
    <r>
      <t>Oil Price</t>
    </r>
    <r>
      <rPr>
        <sz val="10"/>
        <rFont val="Arial"/>
        <family val="2"/>
      </rPr>
      <t xml:space="preserve"> - Choose inputs from dropdown menus</t>
    </r>
  </si>
  <si>
    <t>User Input</t>
  </si>
  <si>
    <t xml:space="preserve">ANS WC Sales Price $/bbl </t>
  </si>
  <si>
    <t>Bunker</t>
  </si>
  <si>
    <t>CPI</t>
  </si>
  <si>
    <t>Netback Costs</t>
  </si>
  <si>
    <t>AVG Marine Costs $/bbl</t>
  </si>
  <si>
    <t>AVG. TAPS Tariff $/bbl</t>
  </si>
  <si>
    <t>AVG. Feeder Tariff $/bbl</t>
  </si>
  <si>
    <t>AVG. Quality Bank $/bbl</t>
  </si>
  <si>
    <t>AVG. Other netback costs $/bbl</t>
  </si>
  <si>
    <t>Total Netback - Tax $/bbl</t>
  </si>
  <si>
    <t>ANS Wellhead - Tax $/bbl</t>
  </si>
  <si>
    <t>AVG. roy field costs $/bbl</t>
  </si>
  <si>
    <t>ANS Wellhead - Royalty $/bbl</t>
  </si>
  <si>
    <r>
      <t xml:space="preserve">ANS Oil and NGL Production </t>
    </r>
    <r>
      <rPr>
        <sz val="10"/>
        <rFont val="Arial"/>
        <family val="2"/>
      </rPr>
      <t>- Choose inputs from dropdown menus</t>
    </r>
  </si>
  <si>
    <t>ANS Production (including Federal OCS)  mmbbls/day</t>
  </si>
  <si>
    <t>Federal OCS Production mmbbls/day</t>
  </si>
  <si>
    <t>ANS Production-State lands mmbbls/day</t>
  </si>
  <si>
    <t>Royalty barrels</t>
  </si>
  <si>
    <t>ACES ANS Taxable BOES per day</t>
  </si>
  <si>
    <t>North Slope Lease Expenditures</t>
  </si>
  <si>
    <t xml:space="preserve">Total North Slope Opex </t>
  </si>
  <si>
    <t>Total North Slope Capex</t>
  </si>
  <si>
    <t>Total North Slope Lease Expenditures</t>
  </si>
  <si>
    <t>deductible opex</t>
  </si>
  <si>
    <t>deductible capex</t>
  </si>
  <si>
    <t>ACES ANS AVG Deductible Costs</t>
  </si>
  <si>
    <t>Royalties - North Slope</t>
  </si>
  <si>
    <t>Avg. ANS Oil Royalty Rate</t>
  </si>
  <si>
    <t>Royalty Rate Adj. Factor</t>
  </si>
  <si>
    <t>Effective Royalty Rate</t>
  </si>
  <si>
    <t>ANS Oil &amp; NGL Royalties - Restricted &amp; Unrestricted</t>
  </si>
  <si>
    <t>ANS NPSL Royalties - Restricted &amp; Unrestricted</t>
  </si>
  <si>
    <t>ANS Gas Royalties - Restricted &amp; Unrestricted</t>
  </si>
  <si>
    <t>TOTAL ANS ROYALTIES - Restricted &amp; Unrestricted</t>
  </si>
  <si>
    <t>NPRA Special Revenue Fund Royalty Share</t>
  </si>
  <si>
    <t>After Perm Fund &amp; School Fund</t>
  </si>
  <si>
    <t>TOTAL ANS ROYALTIES - Unrestricted Only</t>
  </si>
  <si>
    <t>Production Tax - North Slope</t>
  </si>
  <si>
    <t>Taxable BOEs per day (from above)</t>
  </si>
  <si>
    <t>Adjustment for companies without tax liability</t>
  </si>
  <si>
    <t>"Effectively Taxable" barrels for Shortcut calculation &amp; income stmt</t>
  </si>
  <si>
    <t>Effectively taxable barrels GVR eligible</t>
  </si>
  <si>
    <t>Effectively taxable barrels non-GVR</t>
  </si>
  <si>
    <t>ANS AVG Value at Pt. of Production</t>
  </si>
  <si>
    <t>Minimum Production Tax</t>
  </si>
  <si>
    <t>Deductible lease expenditures (from above)</t>
  </si>
  <si>
    <t>ANS AVG Production Tax Value</t>
  </si>
  <si>
    <t>Production Tax Value / taxable barrel</t>
  </si>
  <si>
    <t>GVR deduction (company specific)</t>
  </si>
  <si>
    <t>Production tax value after GVR deduction</t>
  </si>
  <si>
    <t>Base Tax Rate</t>
  </si>
  <si>
    <t>Progressive Surcharge Tax Rate</t>
  </si>
  <si>
    <t>Tax before credits (or min tax)</t>
  </si>
  <si>
    <t xml:space="preserve">024j Per-taxable barrel credit RATE </t>
  </si>
  <si>
    <t>024j Per-taxable barrel credit amount</t>
  </si>
  <si>
    <t>024i per-taxable barrel credit for GVR eligible oil</t>
  </si>
  <si>
    <t xml:space="preserve">023b CFAL credit against liability </t>
  </si>
  <si>
    <t>ANS Small producer Credits</t>
  </si>
  <si>
    <t>ANS Private landowner royalty</t>
  </si>
  <si>
    <t>ANS AVG Production Tax before surcharge</t>
  </si>
  <si>
    <t>North Slope only - Hazardous Release surcharge</t>
  </si>
  <si>
    <t>ANS TOTAL PRODUCTION TAX</t>
  </si>
  <si>
    <t>NOL credits beginning balance</t>
  </si>
  <si>
    <t>NOL credits to carry forward</t>
  </si>
  <si>
    <t>NOL credits applied</t>
  </si>
  <si>
    <t>NOL credits ending balance</t>
  </si>
  <si>
    <t>Cook Inlet &amp; Middle Earth</t>
  </si>
  <si>
    <t>TOTAL CI PETROLEUM ROYALTIES MM$</t>
  </si>
  <si>
    <t>TOTAL CI PETROLEUM ROYALTY NET PF/SF CONTRUB MM $</t>
  </si>
  <si>
    <t>CI credits against tax liability</t>
  </si>
  <si>
    <t>CI Production Tax before surcharge</t>
  </si>
  <si>
    <t>CI Hazardous Release surcharge</t>
  </si>
  <si>
    <t>Total CI Production Tax</t>
  </si>
  <si>
    <t>TOTAL ME PETROLEUM ROYALTIES MM$</t>
  </si>
  <si>
    <t>TOTAL ME PETROLEUM REVS NET PF/SF CONTRUB MM $</t>
  </si>
  <si>
    <t>Total ME Production Tax</t>
  </si>
  <si>
    <t>Total Alaska Production Tax &amp; Royalties MM$</t>
  </si>
  <si>
    <t xml:space="preserve">Total Alaska Production Tax &amp; Royalties LESS PF&amp;SF&amp; NPRA </t>
  </si>
  <si>
    <t xml:space="preserve">PRICE AND PRUDCTION INPUTS SECTION </t>
  </si>
  <si>
    <t>Price Distribution</t>
  </si>
  <si>
    <t>Median</t>
  </si>
  <si>
    <t>Probabalistic Result</t>
  </si>
  <si>
    <t>Mean</t>
  </si>
  <si>
    <t>P90</t>
  </si>
  <si>
    <t>P10</t>
  </si>
  <si>
    <t>Minimum Tax Rate Lookup Table</t>
  </si>
  <si>
    <t>Oil Price</t>
  </si>
  <si>
    <t>Min Tax Rate</t>
  </si>
  <si>
    <t>Production Tax</t>
  </si>
  <si>
    <t>Royalties</t>
  </si>
  <si>
    <t>25% of All Royalties</t>
  </si>
  <si>
    <t>Hard Coded Mean Values</t>
  </si>
  <si>
    <t>Calculated Mean Values Based on Last Run</t>
  </si>
  <si>
    <t>SB 21 per-barrel credit lookup table</t>
  </si>
  <si>
    <t>Oil price</t>
  </si>
  <si>
    <t>Credit</t>
  </si>
  <si>
    <t>Total Petroleum Royalties</t>
  </si>
  <si>
    <t>Total Production Tax</t>
  </si>
  <si>
    <t>Total Deposits</t>
  </si>
  <si>
    <t>Principal Only Deposits</t>
  </si>
  <si>
    <t>Dividend Transfer</t>
  </si>
  <si>
    <t>Fund Expenses</t>
  </si>
  <si>
    <t>Static Values, Mean or Scenario</t>
  </si>
  <si>
    <t>Scenario</t>
  </si>
  <si>
    <t>Scenario Values</t>
  </si>
  <si>
    <t>Distribution Type</t>
  </si>
  <si>
    <t>Probabilistic Input</t>
  </si>
  <si>
    <t>The model is created and maintained by:</t>
  </si>
  <si>
    <t>Department of Revenue, Economic Research Group</t>
  </si>
  <si>
    <t>Alaska Permanent Fund Protection Act Model ("The Model")</t>
  </si>
  <si>
    <t>Item Title</t>
  </si>
  <si>
    <t>Unrealized Gains</t>
  </si>
  <si>
    <t>Statutory Earnings</t>
  </si>
  <si>
    <t>Total Funds for Dividend</t>
  </si>
  <si>
    <t>Population in Dividend Program</t>
  </si>
  <si>
    <t>Per Person Dividend Amount</t>
  </si>
  <si>
    <t>Fiscal Year</t>
  </si>
  <si>
    <t>The number of years from the beginning of the model.</t>
  </si>
  <si>
    <t>Calculated by taking the $424.4 Million Amerada Hess asset base times the Statutory Return Rate. This asset base does not grow by statute.</t>
  </si>
  <si>
    <t xml:space="preserve">Initial Value Given based on input; this value is held constant for the inputted years, at which point it increases from its prior year value by the inputted inflation rate. </t>
  </si>
  <si>
    <t>Explanation of Calculation</t>
  </si>
  <si>
    <t>Definition</t>
  </si>
  <si>
    <t>Investment return for the year.</t>
  </si>
  <si>
    <t>The current Fiscal Year.</t>
  </si>
  <si>
    <t>Deposits into the fund from petroleum deposits</t>
  </si>
  <si>
    <t>Investment revenue generated for the year.</t>
  </si>
  <si>
    <t>Asset Base BOY in Real July 1, 2017 dollars assuming the inputted inflation rate.</t>
  </si>
  <si>
    <t>Asset Base EOY in Real July 1, 2017 dollars assuming the inputted inflation rate.</t>
  </si>
  <si>
    <t>Change in the asset base over the year.</t>
  </si>
  <si>
    <t>The constitutionally protected corpus of the Permanent Fund.</t>
  </si>
  <si>
    <t>Assets invested by the Permanent Fund on July 1 of the current Fiscal Year.</t>
  </si>
  <si>
    <t>Expenses incurred by the Permanent Fund.</t>
  </si>
  <si>
    <t>Transfer to the General Fund of the yearly payout</t>
  </si>
  <si>
    <t>Assets invested by the Permanent Fund on June 30 of the current Fiscal Year.</t>
  </si>
  <si>
    <t>The accumulated realized earning of the Principal not yet distributed.</t>
  </si>
  <si>
    <t>The unrealized gains or losses associated with both the Principal and the Earnings Reserve.</t>
  </si>
  <si>
    <t>Transfer of statutory revenues associated with the Amerada Hess et al. settlement.</t>
  </si>
  <si>
    <t>Deposits dedicated to the Principal by constitution and by the times payout rule.</t>
  </si>
  <si>
    <t>Total funds for distribution to of the dividend.</t>
  </si>
  <si>
    <t>Population of the given year that receives a dividend.</t>
  </si>
  <si>
    <t>The per person dividend amount.</t>
  </si>
  <si>
    <t>Calculated with the Formula: Asset Base BOY * (1 + Inflation Rate) ^ (Fiscal Year - 2017)</t>
  </si>
  <si>
    <t>Marine Cost</t>
  </si>
  <si>
    <t>Term</t>
  </si>
  <si>
    <t>End of Year</t>
  </si>
  <si>
    <t>BOY</t>
  </si>
  <si>
    <t>EOY</t>
  </si>
  <si>
    <t>Beginning of Year</t>
  </si>
  <si>
    <t>An indicator of if the Earnings reserve lacks funds for a withdrawal at or before the given year.</t>
  </si>
  <si>
    <t xml:space="preserve">The lowest value of the Earnings Reserve at or before the given year. </t>
  </si>
  <si>
    <t xml:space="preserve">The mean result of the last probabilistic run of the year's Binary Fail Checker. </t>
  </si>
  <si>
    <t>A @risk estimation of the probability of the Lowest Earning Reserve being negative.</t>
  </si>
  <si>
    <t>If the lowest value of the earnings reserve since the start of the timeframe is negative a 1 or FALSE is displayed.</t>
  </si>
  <si>
    <t>If the lowest value of the earnings reserve since the start of the timeframe.</t>
  </si>
  <si>
    <t>The @risk function RiskTarget() is used on Lowest Earning Reserve with a parameter of 0.</t>
  </si>
  <si>
    <t>The @risk function RiskMean() is used on Binary Fail Checker.</t>
  </si>
  <si>
    <t>Calculated with the formula: (Total Funds for Dividend less Program Costs) times 1,000,000 divided by Population in Dividend Program.</t>
  </si>
  <si>
    <t>Last updated : 22 January 2016</t>
  </si>
  <si>
    <t>The model requires, "@Risk," a plug-in in Excel to generate the Monte Carlo simulations</t>
  </si>
  <si>
    <t>The model is intended to generate the projections for the Permanent Fund Balance and probabilistic confidence in the sufficiency of the Permanent Fund Earnings Reserve for next 24 years for given assumptions on total returns, oil prices, oil production, statutory earnings given a fixed annual draw</t>
  </si>
  <si>
    <t>APFC</t>
  </si>
  <si>
    <t>APFPA Legislation</t>
  </si>
  <si>
    <t>DOR and DOL Estimates</t>
  </si>
  <si>
    <t>Project Evaluation and Review Techniques, A probabilistic distribution.</t>
  </si>
  <si>
    <t>The realized earnings of the fund for the Fiscal Year</t>
  </si>
  <si>
    <t>Costs associated with dividend distribution.</t>
  </si>
  <si>
    <t>Prior Value Incremented by 1.</t>
  </si>
  <si>
    <t>Long Run Geometric Mean</t>
  </si>
  <si>
    <t>Asset Base</t>
  </si>
  <si>
    <t>In probabilistic model calculated based on Long Run Geometric Mean and Standard Deviation inputs. In deterministic model fixed at Long Run Geometric Mean input.</t>
  </si>
  <si>
    <t>The realized return of the fund for the year.</t>
  </si>
  <si>
    <t>In probabilistic model calculated based on Statutory Return's Low 10%, Mid 50%, and High 10% inputs. In deterministic model fixed at the Mid 50% input.</t>
  </si>
  <si>
    <t>All values in millions of nominal dollars unless otherwise specified.</t>
  </si>
  <si>
    <t>Earning Reserve Depletion Analysis</t>
  </si>
  <si>
    <t>Note: Does not include the value of unrealized gains. Assumes no reduction of withdrawal amounts through the periodic review. NA columns are unavailable in deterministic version</t>
  </si>
  <si>
    <t>Note: Dividend Years are the FY in which the dividend is paid to the recipients.  The source of the funds for each year is 50% of the previous year's total royalties.</t>
  </si>
  <si>
    <t>100% of Production Tax and 49.5% of Royalties estimated for the FY from Petroleum Model.</t>
  </si>
  <si>
    <t>Initial value from input; subsequent values is prior year's calculated Asset Base End of Year value.</t>
  </si>
  <si>
    <t>Calculated with the Formula: Total Return * (Asset Base Beginning of Year + .5 *(Total Petroleum Revenue - Withdrawals)).</t>
  </si>
  <si>
    <t>Initial value from input; subsequent years are increased/decreased proportional to the change of Asset Base BOY.</t>
  </si>
  <si>
    <t>.The sum of Petroleum Deposits and Investment Revenue subtracted by the sum of Expenses, AM Hess Transfer, and General Fund Transfer.</t>
  </si>
  <si>
    <t>Asset Base BOY plus Change in Asset Base.</t>
  </si>
  <si>
    <t>Calculated with the Formula: Asset Base EOY * (1 + Inflation Rate) ^ (Fiscal Year - 2016).</t>
  </si>
  <si>
    <t>Deposits dedicated to the  principal  added to Prior Year Principal or Initial Value Principal input.</t>
  </si>
  <si>
    <t>Calculated with the formula: Asset Base End of Year less Principal less Unrealized Gains.</t>
  </si>
  <si>
    <t>Prior Year Unrealized Gains or Initial Value Unrealized Gains plus Investment Revenue less Statutory Earnings.</t>
  </si>
  <si>
    <t>Calculated by taking 25% of Total Royalties from Petroleum Model.</t>
  </si>
  <si>
    <t>Calculated with the Formula: Statutory Return Rate * (Asset Base Beginning of Year + .5 *(Total Petroleum Revenue - Withdrawals)).</t>
  </si>
  <si>
    <t>Calculated by taking 50% of Total Royalties from Petroleum Model.</t>
  </si>
  <si>
    <t>From Input.</t>
  </si>
  <si>
    <t>A Trial version of @Risk is available from the Palisade company's website at: http://www.palisade.com/risk/</t>
  </si>
  <si>
    <t>Contacts:</t>
  </si>
  <si>
    <t>Department of Revenue, Economic Research Group :  David Herbert Phone: (907) 269-1024 Email: David.Herbert@alaska.gov</t>
  </si>
  <si>
    <t>Department of Law, Assistant Attorney General: Emma Pokon Phone: (907) 269-5215, Email: Emma.Pokon@alaska.gov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</si>
</sst>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quot;$&quot;* #,##0.00_);_(&quot;$&quot;* \(#,##0.00\);_(&quot;$&quot;* &quot;-&quot;??_);_(@_)"/>
    <numFmt numFmtId="43" formatCode="_(* #,##0.00_);_(* \(#,##0.00\);_(* &quot;-&quot;??_);_(@_)"/>
    <numFmt numFmtId="164" formatCode="0.000%"/>
    <numFmt numFmtId="165" formatCode="0.0000"/>
    <numFmt numFmtId="166" formatCode="0.0000000"/>
    <numFmt numFmtId="167" formatCode="0.000"/>
    <numFmt numFmtId="168" formatCode="&quot;$&quot;#,##0.00"/>
    <numFmt numFmtId="169" formatCode="&quot;$&quot;#,##0"/>
    <numFmt numFmtId="170" formatCode="_(* #,##0_);_(* \(#,##0\);_(* &quot;-&quot;??_);_(@_)"/>
    <numFmt numFmtId="171" formatCode="0.000000"/>
    <numFmt numFmtId="172" formatCode="hh:mm\ AM/PM_)"/>
    <numFmt numFmtId="173" formatCode="dd\-mmm\-yy_)"/>
    <numFmt numFmtId="174" formatCode="0_)"/>
    <numFmt numFmtId="175" formatCode="#,##0.0000"/>
    <numFmt numFmtId="176" formatCode="#,##0.000"/>
    <numFmt numFmtId="177" formatCode="0.0000_)"/>
    <numFmt numFmtId="178" formatCode="0.000_)"/>
    <numFmt numFmtId="179" formatCode="#,##0.0"/>
    <numFmt numFmtId="180" formatCode="_(* #,##0.000_);_(* \(#,##0.000\);_(* &quot;-&quot;??_);_(@_)"/>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9"/>
      <name val="Arial"/>
      <family val="2"/>
    </font>
    <font>
      <sz val="10"/>
      <name val="Times"/>
    </font>
    <font>
      <sz val="8"/>
      <color theme="1"/>
      <name val="Tahoma"/>
      <family val="2"/>
    </font>
    <font>
      <b/>
      <sz val="9"/>
      <color indexed="81"/>
      <name val="Tahoma"/>
      <family val="2"/>
    </font>
    <font>
      <sz val="11"/>
      <color rgb="FF3F3F7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theme="0"/>
      <name val="Calibri"/>
      <family val="2"/>
      <scheme val="minor"/>
    </font>
    <font>
      <b/>
      <i/>
      <sz val="11"/>
      <color theme="1"/>
      <name val="Calibri"/>
      <family val="2"/>
      <scheme val="minor"/>
    </font>
    <font>
      <b/>
      <sz val="11"/>
      <name val="Calibri"/>
      <family val="2"/>
      <scheme val="minor"/>
    </font>
    <font>
      <u/>
      <sz val="11"/>
      <color theme="10"/>
      <name val="Calibri"/>
      <family val="2"/>
      <scheme val="minor"/>
    </font>
    <font>
      <sz val="12"/>
      <color theme="1"/>
      <name val="Calibri"/>
      <family val="2"/>
      <scheme val="minor"/>
    </font>
    <font>
      <sz val="11"/>
      <name val="Calibri"/>
      <family val="2"/>
      <scheme val="minor"/>
    </font>
    <font>
      <b/>
      <sz val="12"/>
      <color theme="4" tint="-0.249977111117893"/>
      <name val="Calibri"/>
      <family val="2"/>
      <scheme val="minor"/>
    </font>
    <font>
      <u/>
      <sz val="12"/>
      <color theme="10"/>
      <name val="Calibri"/>
      <family val="2"/>
      <scheme val="minor"/>
    </font>
    <font>
      <sz val="10"/>
      <color indexed="10"/>
      <name val="Arial"/>
      <family val="2"/>
    </font>
    <font>
      <b/>
      <sz val="12"/>
      <name val="Arial"/>
      <family val="2"/>
    </font>
    <font>
      <sz val="10"/>
      <color indexed="14"/>
      <name val="Arial"/>
      <family val="2"/>
    </font>
    <font>
      <sz val="10"/>
      <color indexed="8"/>
      <name val="Arial"/>
      <family val="2"/>
    </font>
    <font>
      <b/>
      <sz val="10"/>
      <name val="Arial"/>
      <family val="2"/>
    </font>
    <font>
      <b/>
      <sz val="10"/>
      <color indexed="8"/>
      <name val="Arial"/>
      <family val="2"/>
    </font>
    <font>
      <sz val="10"/>
      <color theme="1"/>
      <name val="Arial"/>
      <family val="2"/>
    </font>
    <font>
      <sz val="10"/>
      <color indexed="17"/>
      <name val="Arial"/>
      <family val="2"/>
    </font>
    <font>
      <u/>
      <sz val="10"/>
      <name val="Arial"/>
      <family val="2"/>
    </font>
    <font>
      <b/>
      <sz val="10"/>
      <color indexed="17"/>
      <name val="Arial"/>
      <family val="2"/>
    </font>
    <font>
      <sz val="10"/>
      <color theme="5"/>
      <name val="Arial"/>
      <family val="2"/>
    </font>
    <font>
      <sz val="10"/>
      <color indexed="12"/>
      <name val="Arial"/>
      <family val="2"/>
    </font>
    <font>
      <b/>
      <sz val="14"/>
      <name val="Arial"/>
      <family val="2"/>
    </font>
    <font>
      <b/>
      <u val="double"/>
      <sz val="14"/>
      <name val="Arial"/>
      <family val="2"/>
    </font>
    <font>
      <sz val="14"/>
      <name val="Arial"/>
      <family val="2"/>
    </font>
    <font>
      <sz val="10"/>
      <color indexed="62"/>
      <name val="Arial"/>
      <family val="2"/>
    </font>
    <font>
      <b/>
      <sz val="8"/>
      <color indexed="81"/>
      <name val="Tahoma"/>
      <family val="2"/>
    </font>
    <font>
      <sz val="8"/>
      <color indexed="81"/>
      <name val="Tahoma"/>
      <family val="2"/>
    </font>
  </fonts>
  <fills count="23">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theme="4" tint="0.79998168889431442"/>
        <bgColor indexed="64"/>
      </patternFill>
    </fill>
    <fill>
      <patternFill patternType="solid">
        <fgColor rgb="FFFFCC99"/>
      </patternFill>
    </fill>
    <fill>
      <patternFill patternType="solid">
        <fgColor rgb="FFF2F2F2"/>
      </patternFill>
    </fill>
    <fill>
      <patternFill patternType="solid">
        <fgColor rgb="FFFFFFCC"/>
      </patternFill>
    </fill>
    <fill>
      <patternFill patternType="solid">
        <fgColor theme="9" tint="0.39997558519241921"/>
        <bgColor indexed="65"/>
      </patternFill>
    </fill>
    <fill>
      <patternFill patternType="solid">
        <fgColor theme="3"/>
        <bgColor indexed="64"/>
      </patternFill>
    </fill>
    <fill>
      <patternFill patternType="solid">
        <fgColor theme="4"/>
        <bgColor indexed="64"/>
      </patternFill>
    </fill>
    <fill>
      <patternFill patternType="solid">
        <fgColor theme="2"/>
        <bgColor indexed="64"/>
      </patternFill>
    </fill>
    <fill>
      <patternFill patternType="solid">
        <fgColor theme="3" tint="0.79998168889431442"/>
        <bgColor indexed="64"/>
      </patternFill>
    </fill>
    <fill>
      <patternFill patternType="solid">
        <fgColor indexed="12"/>
        <bgColor indexed="64"/>
      </patternFill>
    </fill>
    <fill>
      <patternFill patternType="solid">
        <fgColor indexed="4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rgb="FF99FF99"/>
        <bgColor indexed="64"/>
      </patternFill>
    </fill>
    <fill>
      <patternFill patternType="solid">
        <fgColor theme="5" tint="0.79998168889431442"/>
        <bgColor indexed="64"/>
      </patternFill>
    </fill>
  </fills>
  <borders count="21">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rgb="FFFF8001"/>
      </bottom>
      <diagonal/>
    </border>
    <border>
      <left/>
      <right/>
      <top/>
      <bottom style="medium">
        <color indexed="64"/>
      </bottom>
      <diagonal/>
    </border>
    <border>
      <left/>
      <right/>
      <top style="medium">
        <color indexed="64"/>
      </top>
      <bottom style="thin">
        <color indexed="64"/>
      </bottom>
      <diagonal/>
    </border>
  </borders>
  <cellStyleXfs count="17">
    <xf numFmtId="0" fontId="0" fillId="0" borderId="0"/>
    <xf numFmtId="9" fontId="1" fillId="0" borderId="0" applyFont="0" applyFill="0" applyBorder="0" applyAlignment="0" applyProtection="0"/>
    <xf numFmtId="0" fontId="3" fillId="0" borderId="0"/>
    <xf numFmtId="44" fontId="3" fillId="0" borderId="0" applyFont="0" applyFill="0" applyBorder="0" applyAlignment="0" applyProtection="0"/>
    <xf numFmtId="0" fontId="4" fillId="0" borderId="0"/>
    <xf numFmtId="0" fontId="5" fillId="0" borderId="0"/>
    <xf numFmtId="0" fontId="8" fillId="6" borderId="5" applyNumberFormat="0" applyAlignment="0" applyProtection="0"/>
    <xf numFmtId="0" fontId="9" fillId="7" borderId="5" applyNumberFormat="0" applyAlignment="0" applyProtection="0"/>
    <xf numFmtId="0" fontId="10" fillId="0" borderId="6" applyNumberFormat="0" applyFill="0" applyAlignment="0" applyProtection="0"/>
    <xf numFmtId="0" fontId="1" fillId="8" borderId="7" applyNumberFormat="0" applyFont="0" applyAlignment="0" applyProtection="0"/>
    <xf numFmtId="0" fontId="12" fillId="9" borderId="0" applyNumberFormat="0" applyBorder="0" applyAlignment="0" applyProtection="0"/>
    <xf numFmtId="0" fontId="15" fillId="0" borderId="0" applyNumberForma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cellStyleXfs>
  <cellXfs count="313">
    <xf numFmtId="0" fontId="0" fillId="0" borderId="0" xfId="0"/>
    <xf numFmtId="9" fontId="0" fillId="0" borderId="0" xfId="1" applyFont="1"/>
    <xf numFmtId="10" fontId="0" fillId="0" borderId="0" xfId="1" applyNumberFormat="1" applyFont="1"/>
    <xf numFmtId="9" fontId="0" fillId="0" borderId="0" xfId="0" applyNumberFormat="1"/>
    <xf numFmtId="0" fontId="0" fillId="0" borderId="0" xfId="1" applyNumberFormat="1" applyFont="1"/>
    <xf numFmtId="0" fontId="2" fillId="0" borderId="0" xfId="0" applyFont="1"/>
    <xf numFmtId="0" fontId="0" fillId="0" borderId="0" xfId="0" applyFill="1"/>
    <xf numFmtId="10" fontId="0" fillId="0" borderId="0" xfId="0" applyNumberFormat="1"/>
    <xf numFmtId="10" fontId="0" fillId="0" borderId="0" xfId="1" applyNumberFormat="1" applyFont="1" applyFill="1"/>
    <xf numFmtId="0" fontId="0" fillId="0" borderId="0" xfId="0" applyFill="1" applyAlignment="1">
      <alignment vertical="center"/>
    </xf>
    <xf numFmtId="1" fontId="0" fillId="0" borderId="0" xfId="0" applyNumberFormat="1"/>
    <xf numFmtId="0" fontId="6" fillId="2" borderId="1" xfId="0" quotePrefix="1" applyFont="1" applyFill="1" applyBorder="1"/>
    <xf numFmtId="0" fontId="6" fillId="4" borderId="2" xfId="0" applyFont="1" applyFill="1" applyBorder="1" applyAlignment="1">
      <alignment horizontal="left" vertical="center"/>
    </xf>
    <xf numFmtId="0" fontId="0" fillId="0" borderId="0" xfId="0" applyAlignment="1">
      <alignment horizontal="center"/>
    </xf>
    <xf numFmtId="0" fontId="2" fillId="0" borderId="0" xfId="0" applyFont="1" applyAlignment="1">
      <alignment horizontal="center"/>
    </xf>
    <xf numFmtId="2" fontId="0" fillId="0" borderId="0" xfId="1" applyNumberFormat="1" applyFont="1"/>
    <xf numFmtId="0" fontId="13" fillId="0" borderId="0" xfId="0" applyFont="1"/>
    <xf numFmtId="0" fontId="2" fillId="0" borderId="2" xfId="0" applyFont="1" applyBorder="1"/>
    <xf numFmtId="0" fontId="0" fillId="0" borderId="2" xfId="0" applyBorder="1"/>
    <xf numFmtId="0" fontId="8" fillId="6" borderId="5" xfId="6"/>
    <xf numFmtId="0" fontId="0" fillId="0" borderId="2" xfId="0" applyFont="1" applyBorder="1"/>
    <xf numFmtId="0" fontId="0" fillId="0" borderId="2" xfId="0" applyFont="1" applyFill="1" applyBorder="1"/>
    <xf numFmtId="0" fontId="9" fillId="7" borderId="5" xfId="7"/>
    <xf numFmtId="0" fontId="2" fillId="0" borderId="8" xfId="0" applyFont="1" applyBorder="1"/>
    <xf numFmtId="0" fontId="2" fillId="0" borderId="2" xfId="0" applyFont="1" applyBorder="1" applyAlignment="1">
      <alignment horizontal="center"/>
    </xf>
    <xf numFmtId="0" fontId="0" fillId="0" borderId="2" xfId="0" applyBorder="1" applyAlignment="1">
      <alignment horizontal="center"/>
    </xf>
    <xf numFmtId="10" fontId="0" fillId="0" borderId="2" xfId="1" applyNumberFormat="1" applyFont="1" applyBorder="1" applyAlignment="1">
      <alignment horizontal="center"/>
    </xf>
    <xf numFmtId="10" fontId="0" fillId="0" borderId="2" xfId="1" applyNumberFormat="1" applyFont="1" applyBorder="1"/>
    <xf numFmtId="0" fontId="2" fillId="0" borderId="2" xfId="0" applyFont="1" applyFill="1" applyBorder="1"/>
    <xf numFmtId="0" fontId="13" fillId="0" borderId="2" xfId="0" applyFont="1" applyFill="1" applyBorder="1"/>
    <xf numFmtId="0" fontId="13" fillId="0" borderId="2" xfId="0" applyFont="1" applyBorder="1"/>
    <xf numFmtId="10" fontId="8" fillId="6" borderId="2" xfId="6" applyNumberFormat="1" applyBorder="1" applyAlignment="1">
      <alignment horizontal="center"/>
    </xf>
    <xf numFmtId="10" fontId="9" fillId="7" borderId="2" xfId="7" applyNumberFormat="1" applyBorder="1" applyAlignment="1">
      <alignment horizontal="center"/>
    </xf>
    <xf numFmtId="10" fontId="8" fillId="6" borderId="2" xfId="1" applyNumberFormat="1" applyFont="1" applyFill="1" applyBorder="1" applyAlignment="1">
      <alignment horizontal="center"/>
    </xf>
    <xf numFmtId="0" fontId="8" fillId="6" borderId="2" xfId="6" applyBorder="1" applyAlignment="1">
      <alignment horizontal="center"/>
    </xf>
    <xf numFmtId="0" fontId="14" fillId="8" borderId="7" xfId="9" applyFont="1"/>
    <xf numFmtId="0" fontId="14" fillId="8" borderId="2" xfId="9" applyFont="1" applyBorder="1"/>
    <xf numFmtId="0" fontId="11" fillId="10" borderId="0" xfId="0" applyFont="1" applyFill="1"/>
    <xf numFmtId="0" fontId="12" fillId="10" borderId="0" xfId="0" applyFont="1" applyFill="1" applyAlignment="1">
      <alignment horizontal="center"/>
    </xf>
    <xf numFmtId="0" fontId="0" fillId="11" borderId="0" xfId="0" applyFill="1"/>
    <xf numFmtId="0" fontId="2" fillId="11" borderId="0" xfId="0" applyFont="1" applyFill="1"/>
    <xf numFmtId="0" fontId="0" fillId="11" borderId="0" xfId="0" applyFill="1" applyAlignment="1">
      <alignment horizontal="center"/>
    </xf>
    <xf numFmtId="0" fontId="0" fillId="10" borderId="0" xfId="0" applyFill="1"/>
    <xf numFmtId="0" fontId="13" fillId="0" borderId="3" xfId="0" applyFont="1" applyBorder="1"/>
    <xf numFmtId="10" fontId="10" fillId="0" borderId="6" xfId="8" applyNumberFormat="1"/>
    <xf numFmtId="164" fontId="10" fillId="0" borderId="6" xfId="8" applyNumberFormat="1"/>
    <xf numFmtId="0" fontId="10" fillId="0" borderId="6" xfId="8"/>
    <xf numFmtId="0" fontId="0" fillId="0" borderId="0" xfId="0" applyBorder="1"/>
    <xf numFmtId="0" fontId="16" fillId="0" borderId="0" xfId="0" applyFont="1"/>
    <xf numFmtId="0" fontId="11" fillId="9" borderId="7" xfId="10" applyFont="1" applyBorder="1"/>
    <xf numFmtId="0" fontId="13" fillId="0" borderId="0" xfId="0" applyFont="1" applyFill="1" applyBorder="1"/>
    <xf numFmtId="0" fontId="14" fillId="0" borderId="0" xfId="9" applyFont="1" applyFill="1" applyBorder="1"/>
    <xf numFmtId="0" fontId="0" fillId="0" borderId="0" xfId="0" applyFill="1" applyBorder="1"/>
    <xf numFmtId="0" fontId="17" fillId="0" borderId="2" xfId="9" applyFont="1" applyFill="1" applyBorder="1" applyAlignment="1">
      <alignment horizontal="center"/>
    </xf>
    <xf numFmtId="0" fontId="2" fillId="0" borderId="0" xfId="0" applyFont="1" applyBorder="1"/>
    <xf numFmtId="10" fontId="0" fillId="11" borderId="0" xfId="1" applyNumberFormat="1" applyFont="1" applyFill="1"/>
    <xf numFmtId="0" fontId="10" fillId="11" borderId="0" xfId="8" applyFill="1" applyBorder="1"/>
    <xf numFmtId="0" fontId="0" fillId="11" borderId="0" xfId="0" applyFill="1" applyBorder="1"/>
    <xf numFmtId="0" fontId="10" fillId="3" borderId="6" xfId="8" applyFill="1" applyAlignment="1">
      <alignment horizontal="center" vertical="center"/>
    </xf>
    <xf numFmtId="1" fontId="0" fillId="11" borderId="0" xfId="0" applyNumberFormat="1" applyFill="1"/>
    <xf numFmtId="0" fontId="11" fillId="11" borderId="0" xfId="0" applyFont="1" applyFill="1"/>
    <xf numFmtId="0" fontId="18" fillId="0" borderId="0" xfId="0" applyFont="1"/>
    <xf numFmtId="0" fontId="19" fillId="0" borderId="0" xfId="11" applyFont="1"/>
    <xf numFmtId="169" fontId="0" fillId="0" borderId="2" xfId="0" applyNumberFormat="1" applyFill="1" applyBorder="1" applyAlignment="1">
      <alignment horizontal="right" vertical="center"/>
    </xf>
    <xf numFmtId="169" fontId="0" fillId="0" borderId="2" xfId="0" applyNumberFormat="1" applyBorder="1" applyAlignment="1">
      <alignment horizontal="right"/>
    </xf>
    <xf numFmtId="169" fontId="0" fillId="0" borderId="2" xfId="0" applyNumberFormat="1" applyFill="1" applyBorder="1" applyAlignment="1">
      <alignment horizontal="right"/>
    </xf>
    <xf numFmtId="169" fontId="0" fillId="0" borderId="2" xfId="1" applyNumberFormat="1" applyFont="1" applyBorder="1" applyAlignment="1">
      <alignment horizontal="right"/>
    </xf>
    <xf numFmtId="169" fontId="9" fillId="7" borderId="2" xfId="7" applyNumberFormat="1" applyBorder="1" applyAlignment="1">
      <alignment horizontal="center"/>
    </xf>
    <xf numFmtId="0" fontId="2" fillId="0" borderId="2" xfId="0" applyFont="1" applyBorder="1" applyAlignment="1">
      <alignment horizontal="center" vertical="center"/>
    </xf>
    <xf numFmtId="170" fontId="8" fillId="6" borderId="2" xfId="12" applyNumberFormat="1" applyFont="1" applyFill="1" applyBorder="1" applyAlignment="1">
      <alignment horizontal="center"/>
    </xf>
    <xf numFmtId="0" fontId="2" fillId="0" borderId="0" xfId="0" applyFont="1" applyFill="1"/>
    <xf numFmtId="0" fontId="0" fillId="0" borderId="0" xfId="0" applyFill="1" applyAlignment="1">
      <alignment horizontal="center"/>
    </xf>
    <xf numFmtId="0" fontId="2" fillId="0" borderId="0" xfId="0" applyFont="1" applyFill="1" applyBorder="1"/>
    <xf numFmtId="0" fontId="2" fillId="0" borderId="11" xfId="0" applyFont="1" applyFill="1" applyBorder="1"/>
    <xf numFmtId="165" fontId="8" fillId="6" borderId="2" xfId="6" applyNumberFormat="1" applyBorder="1" applyAlignment="1">
      <alignment horizontal="center"/>
    </xf>
    <xf numFmtId="0" fontId="0" fillId="0" borderId="0" xfId="0" applyFill="1" applyBorder="1" applyAlignment="1">
      <alignment horizontal="center"/>
    </xf>
    <xf numFmtId="0" fontId="2" fillId="0" borderId="0" xfId="0" applyFont="1" applyFill="1" applyBorder="1" applyAlignment="1">
      <alignment horizontal="center"/>
    </xf>
    <xf numFmtId="2" fontId="8" fillId="0" borderId="0" xfId="6" applyNumberFormat="1" applyFill="1" applyBorder="1" applyAlignment="1">
      <alignment horizontal="center"/>
    </xf>
    <xf numFmtId="0" fontId="11" fillId="0" borderId="0" xfId="10" applyFont="1" applyFill="1" applyBorder="1" applyAlignment="1">
      <alignment wrapText="1"/>
    </xf>
    <xf numFmtId="0" fontId="17" fillId="0" borderId="0" xfId="9" applyFont="1" applyFill="1" applyBorder="1" applyAlignment="1">
      <alignment horizontal="center"/>
    </xf>
    <xf numFmtId="166" fontId="8" fillId="0" borderId="0" xfId="6" applyNumberFormat="1" applyFill="1" applyBorder="1" applyAlignment="1">
      <alignment horizontal="center"/>
    </xf>
    <xf numFmtId="168" fontId="8" fillId="6" borderId="2" xfId="6" applyNumberFormat="1" applyBorder="1" applyAlignment="1">
      <alignment horizontal="center"/>
    </xf>
    <xf numFmtId="0" fontId="0" fillId="0" borderId="9" xfId="0" applyBorder="1" applyAlignment="1">
      <alignment horizontal="right"/>
    </xf>
    <xf numFmtId="0" fontId="0" fillId="0" borderId="0" xfId="0" applyFill="1" applyAlignment="1">
      <alignment horizontal="right"/>
    </xf>
    <xf numFmtId="0" fontId="0" fillId="12" borderId="2" xfId="0" applyFill="1" applyBorder="1"/>
    <xf numFmtId="169" fontId="10" fillId="0" borderId="2" xfId="8" applyNumberFormat="1" applyBorder="1"/>
    <xf numFmtId="165" fontId="3" fillId="0" borderId="0" xfId="4" applyNumberFormat="1" applyFont="1" applyFill="1"/>
    <xf numFmtId="165" fontId="3" fillId="13" borderId="0" xfId="4" applyNumberFormat="1" applyFont="1" applyFill="1"/>
    <xf numFmtId="165" fontId="20" fillId="0" borderId="0" xfId="4" applyNumberFormat="1" applyFont="1" applyFill="1" applyAlignment="1">
      <alignment horizontal="left"/>
    </xf>
    <xf numFmtId="165" fontId="3" fillId="0" borderId="0" xfId="4" applyNumberFormat="1" applyFont="1" applyFill="1" applyBorder="1"/>
    <xf numFmtId="0" fontId="21" fillId="0" borderId="0" xfId="4" applyFont="1" applyBorder="1" applyAlignment="1">
      <alignment horizontal="left"/>
    </xf>
    <xf numFmtId="0" fontId="21" fillId="13" borderId="0" xfId="4" applyFont="1" applyFill="1" applyBorder="1" applyAlignment="1">
      <alignment horizontal="left"/>
    </xf>
    <xf numFmtId="165" fontId="3" fillId="0" borderId="0" xfId="4" applyNumberFormat="1" applyFont="1" applyBorder="1"/>
    <xf numFmtId="0" fontId="3" fillId="0" borderId="0" xfId="4" applyFont="1" applyBorder="1"/>
    <xf numFmtId="0" fontId="22" fillId="0" borderId="0" xfId="4" applyFont="1" applyBorder="1"/>
    <xf numFmtId="172" fontId="3" fillId="0" borderId="0" xfId="4" applyNumberFormat="1" applyFont="1" applyBorder="1" applyProtection="1"/>
    <xf numFmtId="173" fontId="3" fillId="0" borderId="0" xfId="4" applyNumberFormat="1" applyFont="1" applyBorder="1" applyProtection="1"/>
    <xf numFmtId="0" fontId="3" fillId="0" borderId="0" xfId="4" applyFont="1" applyBorder="1" applyAlignment="1">
      <alignment horizontal="right"/>
    </xf>
    <xf numFmtId="168" fontId="3" fillId="0" borderId="0" xfId="4" applyNumberFormat="1" applyFont="1" applyBorder="1"/>
    <xf numFmtId="9" fontId="3" fillId="0" borderId="0" xfId="4" applyNumberFormat="1" applyFont="1" applyBorder="1" applyAlignment="1">
      <alignment horizontal="center"/>
    </xf>
    <xf numFmtId="168" fontId="3" fillId="0" borderId="0" xfId="4" applyNumberFormat="1" applyFont="1" applyBorder="1" applyAlignment="1">
      <alignment horizontal="center"/>
    </xf>
    <xf numFmtId="0" fontId="3" fillId="14" borderId="0" xfId="4" applyFont="1" applyFill="1" applyBorder="1" applyAlignment="1">
      <alignment horizontal="left"/>
    </xf>
    <xf numFmtId="0" fontId="3" fillId="14" borderId="0" xfId="4" applyFont="1" applyFill="1" applyBorder="1"/>
    <xf numFmtId="0" fontId="3" fillId="14" borderId="0" xfId="4" applyFont="1" applyFill="1" applyBorder="1" applyAlignment="1">
      <alignment horizontal="fill"/>
    </xf>
    <xf numFmtId="0" fontId="23" fillId="15" borderId="0" xfId="4" applyFont="1" applyFill="1" applyBorder="1" applyAlignment="1">
      <alignment horizontal="left"/>
    </xf>
    <xf numFmtId="174" fontId="24" fillId="15" borderId="0" xfId="4" applyNumberFormat="1" applyFont="1" applyFill="1" applyBorder="1" applyProtection="1"/>
    <xf numFmtId="174" fontId="24" fillId="15" borderId="0" xfId="4" applyNumberFormat="1" applyFont="1" applyFill="1" applyBorder="1" applyAlignment="1" applyProtection="1">
      <alignment horizontal="right"/>
    </xf>
    <xf numFmtId="174" fontId="25" fillId="15" borderId="0" xfId="4" applyNumberFormat="1" applyFont="1" applyFill="1" applyBorder="1" applyAlignment="1" applyProtection="1">
      <alignment horizontal="right"/>
    </xf>
    <xf numFmtId="0" fontId="23" fillId="15" borderId="0" xfId="4" applyFont="1" applyFill="1" applyBorder="1"/>
    <xf numFmtId="0" fontId="3" fillId="0" borderId="0" xfId="4" applyFont="1" applyAlignment="1">
      <alignment horizontal="left"/>
    </xf>
    <xf numFmtId="0" fontId="3" fillId="13" borderId="0" xfId="4" applyFont="1" applyFill="1"/>
    <xf numFmtId="1" fontId="3" fillId="0" borderId="0" xfId="4" applyNumberFormat="1" applyFont="1" applyProtection="1"/>
    <xf numFmtId="3" fontId="3" fillId="0" borderId="0" xfId="4" applyNumberFormat="1" applyFont="1" applyProtection="1"/>
    <xf numFmtId="0" fontId="3" fillId="0" borderId="0" xfId="4" applyFont="1"/>
    <xf numFmtId="0" fontId="3" fillId="0" borderId="0" xfId="4" applyFont="1" applyAlignment="1">
      <alignment wrapText="1"/>
    </xf>
    <xf numFmtId="3" fontId="3" fillId="0" borderId="0" xfId="4" applyNumberFormat="1" applyFont="1" applyAlignment="1">
      <alignment wrapText="1"/>
    </xf>
    <xf numFmtId="0" fontId="3" fillId="0" borderId="0" xfId="4" applyFont="1" applyFill="1" applyBorder="1" applyAlignment="1">
      <alignment horizontal="fill"/>
    </xf>
    <xf numFmtId="0" fontId="3" fillId="0" borderId="0" xfId="4" applyFont="1" applyFill="1" applyBorder="1"/>
    <xf numFmtId="0" fontId="24" fillId="16" borderId="0" xfId="4" applyFont="1" applyFill="1" applyBorder="1" applyAlignment="1">
      <alignment horizontal="left"/>
    </xf>
    <xf numFmtId="0" fontId="3" fillId="16" borderId="0" xfId="4" applyFont="1" applyFill="1" applyBorder="1"/>
    <xf numFmtId="165" fontId="3" fillId="16" borderId="0" xfId="4" applyNumberFormat="1" applyFont="1" applyFill="1" applyBorder="1" applyAlignment="1">
      <alignment horizontal="center"/>
    </xf>
    <xf numFmtId="0" fontId="21" fillId="16" borderId="0" xfId="4" applyFont="1" applyFill="1" applyAlignment="1">
      <alignment horizontal="left"/>
    </xf>
    <xf numFmtId="0" fontId="21" fillId="16" borderId="0" xfId="4" applyFont="1" applyFill="1"/>
    <xf numFmtId="4" fontId="21" fillId="16" borderId="0" xfId="4" applyNumberFormat="1" applyFont="1" applyFill="1" applyAlignment="1">
      <alignment horizontal="right"/>
    </xf>
    <xf numFmtId="165" fontId="21" fillId="16" borderId="0" xfId="4" applyNumberFormat="1" applyFont="1" applyFill="1"/>
    <xf numFmtId="175" fontId="21" fillId="16" borderId="0" xfId="4" applyNumberFormat="1" applyFont="1" applyFill="1" applyAlignment="1">
      <alignment horizontal="right"/>
    </xf>
    <xf numFmtId="176" fontId="21" fillId="16" borderId="0" xfId="4" applyNumberFormat="1" applyFont="1" applyFill="1" applyAlignment="1">
      <alignment horizontal="right"/>
    </xf>
    <xf numFmtId="0" fontId="24" fillId="16" borderId="0" xfId="4" applyFont="1" applyFill="1" applyAlignment="1">
      <alignment horizontal="left"/>
    </xf>
    <xf numFmtId="0" fontId="3" fillId="16" borderId="0" xfId="4" applyFont="1" applyFill="1"/>
    <xf numFmtId="176" fontId="3" fillId="16" borderId="0" xfId="4" applyNumberFormat="1" applyFont="1" applyFill="1" applyAlignment="1">
      <alignment horizontal="right"/>
    </xf>
    <xf numFmtId="165" fontId="27" fillId="16" borderId="0" xfId="4" applyNumberFormat="1" applyFont="1" applyFill="1"/>
    <xf numFmtId="165" fontId="3" fillId="16" borderId="0" xfId="4" applyNumberFormat="1" applyFont="1" applyFill="1"/>
    <xf numFmtId="0" fontId="3" fillId="16" borderId="0" xfId="4" applyFont="1" applyFill="1" applyAlignment="1">
      <alignment wrapText="1"/>
    </xf>
    <xf numFmtId="3" fontId="3" fillId="16" borderId="0" xfId="4" applyNumberFormat="1" applyFont="1" applyFill="1" applyAlignment="1">
      <alignment wrapText="1"/>
    </xf>
    <xf numFmtId="0" fontId="3" fillId="16" borderId="0" xfId="4" applyFont="1" applyFill="1" applyAlignment="1">
      <alignment horizontal="left" indent="2"/>
    </xf>
    <xf numFmtId="175" fontId="3" fillId="16" borderId="0" xfId="4" applyNumberFormat="1" applyFont="1" applyFill="1"/>
    <xf numFmtId="165" fontId="3" fillId="16" borderId="0" xfId="4" applyNumberFormat="1" applyFont="1" applyFill="1" applyBorder="1"/>
    <xf numFmtId="0" fontId="3" fillId="16" borderId="0" xfId="4" applyFont="1" applyFill="1" applyAlignment="1">
      <alignment horizontal="left"/>
    </xf>
    <xf numFmtId="0" fontId="28" fillId="16" borderId="0" xfId="4" applyFont="1" applyFill="1"/>
    <xf numFmtId="165" fontId="28" fillId="16" borderId="0" xfId="4" applyNumberFormat="1" applyFont="1" applyFill="1"/>
    <xf numFmtId="175" fontId="28" fillId="16" borderId="0" xfId="4" applyNumberFormat="1" applyFont="1" applyFill="1"/>
    <xf numFmtId="0" fontId="24" fillId="16" borderId="0" xfId="4" applyFont="1" applyFill="1"/>
    <xf numFmtId="165" fontId="24" fillId="16" borderId="0" xfId="4" applyNumberFormat="1" applyFont="1" applyFill="1"/>
    <xf numFmtId="175" fontId="24" fillId="16" borderId="0" xfId="4" applyNumberFormat="1" applyFont="1" applyFill="1"/>
    <xf numFmtId="0" fontId="24" fillId="16" borderId="0" xfId="4" applyFont="1" applyFill="1" applyAlignment="1">
      <alignment wrapText="1"/>
    </xf>
    <xf numFmtId="3" fontId="24" fillId="16" borderId="0" xfId="4" applyNumberFormat="1" applyFont="1" applyFill="1" applyAlignment="1">
      <alignment wrapText="1"/>
    </xf>
    <xf numFmtId="165" fontId="28" fillId="16" borderId="0" xfId="4" applyNumberFormat="1" applyFont="1" applyFill="1" applyBorder="1"/>
    <xf numFmtId="165" fontId="24" fillId="16" borderId="0" xfId="4" applyNumberFormat="1" applyFont="1" applyFill="1" applyBorder="1"/>
    <xf numFmtId="0" fontId="29" fillId="0" borderId="0" xfId="4" applyFont="1" applyFill="1" applyAlignment="1">
      <alignment horizontal="left"/>
    </xf>
    <xf numFmtId="0" fontId="3" fillId="0" borderId="0" xfId="4" applyFont="1" applyFill="1"/>
    <xf numFmtId="165" fontId="27" fillId="0" borderId="0" xfId="4" applyNumberFormat="1" applyFont="1" applyFill="1" applyBorder="1"/>
    <xf numFmtId="0" fontId="24" fillId="17" borderId="0" xfId="4" applyFont="1" applyFill="1"/>
    <xf numFmtId="0" fontId="3" fillId="17" borderId="0" xfId="4" applyFont="1" applyFill="1"/>
    <xf numFmtId="165" fontId="3" fillId="17" borderId="0" xfId="4" applyNumberFormat="1" applyFont="1" applyFill="1" applyBorder="1"/>
    <xf numFmtId="0" fontId="3" fillId="17" borderId="0" xfId="4" applyFont="1" applyFill="1" applyBorder="1" applyAlignment="1">
      <alignment horizontal="center"/>
    </xf>
    <xf numFmtId="0" fontId="21" fillId="17" borderId="0" xfId="4" applyFont="1" applyFill="1" applyAlignment="1">
      <alignment horizontal="left"/>
    </xf>
    <xf numFmtId="0" fontId="21" fillId="17" borderId="0" xfId="4" applyFont="1" applyFill="1"/>
    <xf numFmtId="165" fontId="21" fillId="17" borderId="0" xfId="4" applyNumberFormat="1" applyFont="1" applyFill="1"/>
    <xf numFmtId="0" fontId="3" fillId="17" borderId="0" xfId="4" applyFont="1" applyFill="1" applyAlignment="1">
      <alignment horizontal="left" indent="1"/>
    </xf>
    <xf numFmtId="165" fontId="3" fillId="17" borderId="0" xfId="4" applyNumberFormat="1" applyFont="1" applyFill="1"/>
    <xf numFmtId="0" fontId="24" fillId="17" borderId="0" xfId="4" applyFont="1" applyFill="1" applyAlignment="1">
      <alignment horizontal="left" indent="1"/>
    </xf>
    <xf numFmtId="165" fontId="24" fillId="17" borderId="0" xfId="4" applyNumberFormat="1" applyFont="1" applyFill="1"/>
    <xf numFmtId="165" fontId="28" fillId="17" borderId="0" xfId="4" applyNumberFormat="1" applyFont="1" applyFill="1"/>
    <xf numFmtId="0" fontId="3" fillId="17" borderId="0" xfId="4" applyFont="1" applyFill="1" applyAlignment="1">
      <alignment wrapText="1"/>
    </xf>
    <xf numFmtId="3" fontId="3" fillId="17" borderId="0" xfId="4" applyNumberFormat="1" applyFont="1" applyFill="1" applyAlignment="1">
      <alignment wrapText="1"/>
    </xf>
    <xf numFmtId="0" fontId="24" fillId="17" borderId="0" xfId="4" applyFont="1" applyFill="1" applyAlignment="1">
      <alignment horizontal="left"/>
    </xf>
    <xf numFmtId="0" fontId="24" fillId="17" borderId="0" xfId="4" applyFont="1" applyFill="1" applyAlignment="1">
      <alignment wrapText="1"/>
    </xf>
    <xf numFmtId="3" fontId="24" fillId="17" borderId="0" xfId="4" applyNumberFormat="1" applyFont="1" applyFill="1" applyAlignment="1">
      <alignment wrapText="1"/>
    </xf>
    <xf numFmtId="0" fontId="24" fillId="0" borderId="0" xfId="4" applyFont="1" applyFill="1" applyAlignment="1">
      <alignment horizontal="left"/>
    </xf>
    <xf numFmtId="0" fontId="24" fillId="0" borderId="0" xfId="4" applyFont="1" applyFill="1"/>
    <xf numFmtId="165" fontId="24" fillId="0" borderId="0" xfId="4" applyNumberFormat="1" applyFont="1" applyFill="1"/>
    <xf numFmtId="0" fontId="24" fillId="0" borderId="0" xfId="4" applyFont="1" applyFill="1" applyAlignment="1">
      <alignment wrapText="1"/>
    </xf>
    <xf numFmtId="3" fontId="24" fillId="0" borderId="0" xfId="4" applyNumberFormat="1" applyFont="1" applyFill="1" applyAlignment="1">
      <alignment wrapText="1"/>
    </xf>
    <xf numFmtId="0" fontId="21" fillId="18" borderId="0" xfId="4" applyFont="1" applyFill="1" applyAlignment="1">
      <alignment horizontal="left"/>
    </xf>
    <xf numFmtId="0" fontId="24" fillId="18" borderId="0" xfId="4" applyFont="1" applyFill="1"/>
    <xf numFmtId="165" fontId="24" fillId="18" borderId="0" xfId="4" applyNumberFormat="1" applyFont="1" applyFill="1"/>
    <xf numFmtId="0" fontId="24" fillId="18" borderId="0" xfId="4" applyFont="1" applyFill="1" applyAlignment="1">
      <alignment wrapText="1"/>
    </xf>
    <xf numFmtId="3" fontId="24" fillId="18" borderId="0" xfId="4" applyNumberFormat="1" applyFont="1" applyFill="1" applyAlignment="1">
      <alignment wrapText="1"/>
    </xf>
    <xf numFmtId="0" fontId="3" fillId="18" borderId="0" xfId="4" applyFont="1" applyFill="1" applyAlignment="1">
      <alignment horizontal="left" indent="1"/>
    </xf>
    <xf numFmtId="0" fontId="3" fillId="18" borderId="0" xfId="4" applyFont="1" applyFill="1"/>
    <xf numFmtId="165" fontId="3" fillId="18" borderId="0" xfId="4" applyNumberFormat="1" applyFont="1" applyFill="1"/>
    <xf numFmtId="0" fontId="3" fillId="18" borderId="0" xfId="4" applyFont="1" applyFill="1" applyAlignment="1">
      <alignment wrapText="1"/>
    </xf>
    <xf numFmtId="3" fontId="3" fillId="18" borderId="0" xfId="4" applyNumberFormat="1" applyFont="1" applyFill="1" applyAlignment="1">
      <alignment wrapText="1"/>
    </xf>
    <xf numFmtId="165" fontId="28" fillId="18" borderId="0" xfId="4" applyNumberFormat="1" applyFont="1" applyFill="1"/>
    <xf numFmtId="0" fontId="3" fillId="18" borderId="0" xfId="4" applyFont="1" applyFill="1" applyAlignment="1">
      <alignment horizontal="left"/>
    </xf>
    <xf numFmtId="0" fontId="3" fillId="18" borderId="0" xfId="4" applyFont="1" applyFill="1" applyBorder="1" applyAlignment="1">
      <alignment horizontal="left" indent="1"/>
    </xf>
    <xf numFmtId="0" fontId="3" fillId="18" borderId="0" xfId="4" applyFont="1" applyFill="1" applyBorder="1"/>
    <xf numFmtId="175" fontId="3" fillId="18" borderId="0" xfId="4" applyNumberFormat="1" applyFont="1" applyFill="1" applyBorder="1" applyAlignment="1">
      <alignment horizontal="center"/>
    </xf>
    <xf numFmtId="0" fontId="21" fillId="19" borderId="0" xfId="4" applyFont="1" applyFill="1" applyAlignment="1">
      <alignment horizontal="left"/>
    </xf>
    <xf numFmtId="0" fontId="3" fillId="19" borderId="0" xfId="4" applyFont="1" applyFill="1"/>
    <xf numFmtId="165" fontId="3" fillId="19" borderId="0" xfId="4" applyNumberFormat="1" applyFont="1" applyFill="1" applyBorder="1"/>
    <xf numFmtId="1" fontId="3" fillId="19" borderId="0" xfId="4" applyNumberFormat="1" applyFont="1" applyFill="1" applyProtection="1"/>
    <xf numFmtId="3" fontId="3" fillId="19" borderId="0" xfId="4" applyNumberFormat="1" applyFont="1" applyFill="1" applyProtection="1"/>
    <xf numFmtId="0" fontId="3" fillId="19" borderId="0" xfId="4" applyFont="1" applyFill="1" applyAlignment="1">
      <alignment wrapText="1"/>
    </xf>
    <xf numFmtId="3" fontId="3" fillId="19" borderId="0" xfId="4" applyNumberFormat="1" applyFont="1" applyFill="1" applyAlignment="1">
      <alignment wrapText="1"/>
    </xf>
    <xf numFmtId="0" fontId="3" fillId="19" borderId="0" xfId="4" applyFont="1" applyFill="1" applyAlignment="1">
      <alignment horizontal="left"/>
    </xf>
    <xf numFmtId="165" fontId="3" fillId="19" borderId="0" xfId="4" applyNumberFormat="1" applyFont="1" applyFill="1"/>
    <xf numFmtId="175" fontId="3" fillId="19" borderId="0" xfId="4" applyNumberFormat="1" applyFont="1" applyFill="1"/>
    <xf numFmtId="2" fontId="3" fillId="19" borderId="0" xfId="4" applyNumberFormat="1" applyFont="1" applyFill="1"/>
    <xf numFmtId="0" fontId="24" fillId="19" borderId="0" xfId="4" applyFont="1" applyFill="1" applyAlignment="1">
      <alignment horizontal="left"/>
    </xf>
    <xf numFmtId="0" fontId="24" fillId="19" borderId="0" xfId="4" applyFont="1" applyFill="1"/>
    <xf numFmtId="165" fontId="24" fillId="19" borderId="0" xfId="4" applyNumberFormat="1" applyFont="1" applyFill="1"/>
    <xf numFmtId="175" fontId="24" fillId="19" borderId="0" xfId="4" applyNumberFormat="1" applyFont="1" applyFill="1"/>
    <xf numFmtId="0" fontId="24" fillId="19" borderId="0" xfId="4" applyFont="1" applyFill="1" applyAlignment="1">
      <alignment wrapText="1"/>
    </xf>
    <xf numFmtId="3" fontId="24" fillId="19" borderId="0" xfId="4" applyNumberFormat="1" applyFont="1" applyFill="1" applyAlignment="1">
      <alignment wrapText="1"/>
    </xf>
    <xf numFmtId="0" fontId="3" fillId="19" borderId="0" xfId="4" applyFont="1" applyFill="1" applyAlignment="1">
      <alignment horizontal="left" indent="2"/>
    </xf>
    <xf numFmtId="165" fontId="26" fillId="19" borderId="0" xfId="4" applyNumberFormat="1" applyFont="1" applyFill="1"/>
    <xf numFmtId="171" fontId="3" fillId="19" borderId="0" xfId="4" applyNumberFormat="1" applyFont="1" applyFill="1" applyBorder="1"/>
    <xf numFmtId="0" fontId="3" fillId="0" borderId="0" xfId="4" applyFont="1" applyFill="1" applyAlignment="1">
      <alignment horizontal="left"/>
    </xf>
    <xf numFmtId="175" fontId="3" fillId="0" borderId="0" xfId="4" applyNumberFormat="1" applyFont="1"/>
    <xf numFmtId="165" fontId="30" fillId="16" borderId="0" xfId="4" applyNumberFormat="1" applyFont="1" applyFill="1"/>
    <xf numFmtId="0" fontId="3" fillId="16" borderId="0" xfId="4" applyFont="1" applyFill="1" applyBorder="1" applyAlignment="1">
      <alignment horizontal="left" indent="1"/>
    </xf>
    <xf numFmtId="175" fontId="3" fillId="16" borderId="0" xfId="4" applyNumberFormat="1" applyFont="1" applyFill="1" applyBorder="1"/>
    <xf numFmtId="43" fontId="3" fillId="16" borderId="0" xfId="13" applyFont="1" applyFill="1" applyBorder="1" applyAlignment="1">
      <alignment horizontal="center"/>
    </xf>
    <xf numFmtId="165" fontId="3" fillId="16" borderId="0" xfId="15" applyNumberFormat="1" applyFont="1" applyFill="1"/>
    <xf numFmtId="0" fontId="24" fillId="16" borderId="0" xfId="4" applyFont="1" applyFill="1" applyBorder="1"/>
    <xf numFmtId="165" fontId="24" fillId="16" borderId="0" xfId="4" applyNumberFormat="1" applyFont="1" applyFill="1" applyBorder="1" applyAlignment="1">
      <alignment horizontal="center"/>
    </xf>
    <xf numFmtId="175" fontId="3" fillId="16" borderId="0" xfId="4" applyNumberFormat="1" applyFont="1" applyFill="1" applyBorder="1" applyAlignment="1">
      <alignment horizontal="center"/>
    </xf>
    <xf numFmtId="167" fontId="3" fillId="16" borderId="0" xfId="4" applyNumberFormat="1" applyFont="1" applyFill="1"/>
    <xf numFmtId="165" fontId="28" fillId="16" borderId="0" xfId="4" applyNumberFormat="1" applyFont="1" applyFill="1" applyBorder="1" applyAlignment="1">
      <alignment horizontal="center"/>
    </xf>
    <xf numFmtId="43" fontId="20" fillId="0" borderId="0" xfId="13" applyFont="1" applyFill="1" applyBorder="1"/>
    <xf numFmtId="177" fontId="3" fillId="0" borderId="0" xfId="4" applyNumberFormat="1" applyFont="1"/>
    <xf numFmtId="178" fontId="3" fillId="0" borderId="0" xfId="4" applyNumberFormat="1" applyFont="1"/>
    <xf numFmtId="0" fontId="21" fillId="20" borderId="0" xfId="4" applyFont="1" applyFill="1" applyBorder="1"/>
    <xf numFmtId="0" fontId="3" fillId="20" borderId="0" xfId="4" applyFont="1" applyFill="1"/>
    <xf numFmtId="177" fontId="3" fillId="20" borderId="0" xfId="4" applyNumberFormat="1" applyFont="1" applyFill="1"/>
    <xf numFmtId="178" fontId="3" fillId="20" borderId="0" xfId="4" applyNumberFormat="1" applyFont="1" applyFill="1"/>
    <xf numFmtId="0" fontId="3" fillId="20" borderId="0" xfId="4" applyFont="1" applyFill="1" applyAlignment="1">
      <alignment horizontal="left"/>
    </xf>
    <xf numFmtId="165" fontId="3" fillId="20" borderId="0" xfId="4" applyNumberFormat="1" applyFont="1" applyFill="1" applyBorder="1"/>
    <xf numFmtId="175" fontId="3" fillId="20" borderId="0" xfId="4" applyNumberFormat="1" applyFont="1" applyFill="1"/>
    <xf numFmtId="167" fontId="3" fillId="20" borderId="0" xfId="4" applyNumberFormat="1" applyFont="1" applyFill="1" applyBorder="1"/>
    <xf numFmtId="165" fontId="3" fillId="20" borderId="0" xfId="4" applyNumberFormat="1" applyFont="1" applyFill="1"/>
    <xf numFmtId="167" fontId="3" fillId="20" borderId="0" xfId="4" applyNumberFormat="1" applyFont="1" applyFill="1"/>
    <xf numFmtId="175" fontId="31" fillId="20" borderId="0" xfId="4" applyNumberFormat="1" applyFont="1" applyFill="1"/>
    <xf numFmtId="0" fontId="31" fillId="20" borderId="0" xfId="4" applyFont="1" applyFill="1"/>
    <xf numFmtId="175" fontId="3" fillId="20" borderId="0" xfId="4" applyNumberFormat="1" applyFont="1" applyFill="1" applyBorder="1"/>
    <xf numFmtId="0" fontId="3" fillId="13" borderId="0" xfId="4" applyFont="1" applyFill="1" applyBorder="1"/>
    <xf numFmtId="175" fontId="3" fillId="0" borderId="0" xfId="4" applyNumberFormat="1" applyFont="1" applyFill="1"/>
    <xf numFmtId="175" fontId="3" fillId="0" borderId="0" xfId="4" applyNumberFormat="1" applyFont="1" applyFill="1" applyBorder="1"/>
    <xf numFmtId="0" fontId="32" fillId="0" borderId="0" xfId="4" applyFont="1" applyFill="1" applyAlignment="1">
      <alignment horizontal="left"/>
    </xf>
    <xf numFmtId="0" fontId="32" fillId="0" borderId="0" xfId="4" applyFont="1" applyFill="1"/>
    <xf numFmtId="179" fontId="33" fillId="0" borderId="0" xfId="4" applyNumberFormat="1" applyFont="1" applyFill="1"/>
    <xf numFmtId="179" fontId="32" fillId="0" borderId="0" xfId="4" applyNumberFormat="1" applyFont="1" applyFill="1"/>
    <xf numFmtId="165" fontId="34" fillId="0" borderId="0" xfId="4" applyNumberFormat="1" applyFont="1" applyFill="1"/>
    <xf numFmtId="0" fontId="34" fillId="0" borderId="0" xfId="4" applyFont="1" applyFill="1"/>
    <xf numFmtId="0" fontId="21" fillId="18" borderId="0" xfId="4" applyFont="1" applyFill="1"/>
    <xf numFmtId="165" fontId="3" fillId="18" borderId="0" xfId="4" applyNumberFormat="1" applyFont="1" applyFill="1" applyBorder="1" applyAlignment="1">
      <alignment horizontal="right"/>
    </xf>
    <xf numFmtId="167" fontId="3" fillId="18" borderId="0" xfId="4" applyNumberFormat="1" applyFont="1" applyFill="1" applyBorder="1"/>
    <xf numFmtId="165" fontId="35" fillId="18" borderId="0" xfId="4" applyNumberFormat="1" applyFont="1" applyFill="1"/>
    <xf numFmtId="0" fontId="35" fillId="18" borderId="0" xfId="4" applyFont="1" applyFill="1"/>
    <xf numFmtId="2" fontId="24" fillId="18" borderId="0" xfId="4" applyNumberFormat="1" applyFont="1" applyFill="1"/>
    <xf numFmtId="165" fontId="20" fillId="18" borderId="0" xfId="4" applyNumberFormat="1" applyFont="1" applyFill="1"/>
    <xf numFmtId="1" fontId="20" fillId="18" borderId="0" xfId="4" applyNumberFormat="1" applyFont="1" applyFill="1"/>
    <xf numFmtId="2" fontId="3" fillId="18" borderId="0" xfId="4" applyNumberFormat="1" applyFont="1" applyFill="1"/>
    <xf numFmtId="2" fontId="27" fillId="18" borderId="0" xfId="4" applyNumberFormat="1" applyFont="1" applyFill="1"/>
    <xf numFmtId="165" fontId="24" fillId="18" borderId="10" xfId="4" applyNumberFormat="1" applyFont="1" applyFill="1" applyBorder="1"/>
    <xf numFmtId="179" fontId="24" fillId="0" borderId="0" xfId="4" applyNumberFormat="1" applyFont="1" applyFill="1"/>
    <xf numFmtId="170" fontId="24" fillId="0" borderId="0" xfId="13" applyNumberFormat="1" applyFont="1" applyFill="1"/>
    <xf numFmtId="170" fontId="3" fillId="0" borderId="0" xfId="13" applyNumberFormat="1" applyFont="1" applyFill="1"/>
    <xf numFmtId="0" fontId="3" fillId="21" borderId="0" xfId="4" applyFont="1" applyFill="1" applyBorder="1"/>
    <xf numFmtId="0" fontId="3" fillId="21" borderId="0" xfId="4" applyFont="1" applyFill="1"/>
    <xf numFmtId="0" fontId="3" fillId="5" borderId="14" xfId="4" applyFont="1" applyFill="1" applyBorder="1"/>
    <xf numFmtId="0" fontId="3" fillId="5" borderId="15" xfId="4" applyFont="1" applyFill="1" applyBorder="1"/>
    <xf numFmtId="170" fontId="3" fillId="0" borderId="0" xfId="13" applyNumberFormat="1" applyFont="1"/>
    <xf numFmtId="0" fontId="3" fillId="21" borderId="0" xfId="4" applyFont="1" applyFill="1" applyBorder="1" applyAlignment="1">
      <alignment horizontal="right"/>
    </xf>
    <xf numFmtId="2" fontId="3" fillId="21" borderId="0" xfId="4" applyNumberFormat="1" applyFont="1" applyFill="1"/>
    <xf numFmtId="0" fontId="3" fillId="5" borderId="16" xfId="4" applyFont="1" applyFill="1" applyBorder="1"/>
    <xf numFmtId="0" fontId="3" fillId="5" borderId="17" xfId="4" applyFont="1" applyFill="1" applyBorder="1"/>
    <xf numFmtId="2" fontId="3" fillId="21" borderId="0" xfId="4" applyNumberFormat="1" applyFont="1" applyFill="1" applyBorder="1"/>
    <xf numFmtId="0" fontId="24" fillId="0" borderId="0" xfId="13" applyNumberFormat="1" applyFont="1" applyFill="1"/>
    <xf numFmtId="180" fontId="3" fillId="0" borderId="0" xfId="13" applyNumberFormat="1" applyFont="1"/>
    <xf numFmtId="43" fontId="3" fillId="0" borderId="0" xfId="13" applyNumberFormat="1" applyFont="1"/>
    <xf numFmtId="170" fontId="4" fillId="0" borderId="0" xfId="16" applyNumberFormat="1"/>
    <xf numFmtId="170" fontId="3" fillId="0" borderId="0" xfId="4" applyNumberFormat="1" applyFont="1"/>
    <xf numFmtId="0" fontId="3" fillId="0" borderId="0" xfId="4" applyNumberFormat="1" applyFont="1"/>
    <xf numFmtId="43" fontId="3" fillId="0" borderId="0" xfId="4" applyNumberFormat="1" applyFont="1"/>
    <xf numFmtId="169" fontId="0" fillId="0" borderId="2" xfId="0" applyNumberFormat="1" applyBorder="1"/>
    <xf numFmtId="0" fontId="12" fillId="0" borderId="0" xfId="0" applyFont="1"/>
    <xf numFmtId="0" fontId="11" fillId="0" borderId="0" xfId="0" applyFont="1" applyFill="1" applyBorder="1"/>
    <xf numFmtId="10" fontId="8" fillId="22" borderId="2" xfId="6" applyNumberFormat="1" applyFill="1" applyBorder="1" applyAlignment="1">
      <alignment horizontal="center"/>
    </xf>
    <xf numFmtId="0" fontId="8" fillId="22" borderId="5" xfId="6" applyFill="1"/>
    <xf numFmtId="10" fontId="8" fillId="22" borderId="2" xfId="1" applyNumberFormat="1" applyFont="1" applyFill="1" applyBorder="1" applyAlignment="1">
      <alignment horizontal="center"/>
    </xf>
    <xf numFmtId="0" fontId="8" fillId="22" borderId="2" xfId="6" applyFill="1" applyBorder="1" applyAlignment="1">
      <alignment horizontal="center"/>
    </xf>
    <xf numFmtId="168" fontId="8" fillId="22" borderId="2" xfId="6" applyNumberFormat="1" applyFill="1" applyBorder="1" applyAlignment="1">
      <alignment horizontal="center"/>
    </xf>
    <xf numFmtId="0" fontId="10" fillId="0" borderId="18" xfId="8" applyBorder="1" applyAlignment="1">
      <alignment horizontal="center"/>
    </xf>
    <xf numFmtId="169" fontId="8" fillId="6" borderId="2" xfId="6" applyNumberFormat="1" applyBorder="1" applyAlignment="1">
      <alignment horizontal="center"/>
    </xf>
    <xf numFmtId="0" fontId="21" fillId="16" borderId="0" xfId="4" applyFont="1" applyFill="1" applyAlignment="1">
      <alignment horizontal="right"/>
    </xf>
    <xf numFmtId="0" fontId="14" fillId="8" borderId="2" xfId="9" applyFont="1" applyBorder="1" applyAlignment="1">
      <alignment horizontal="left"/>
    </xf>
    <xf numFmtId="0" fontId="2" fillId="0" borderId="2" xfId="0" applyFont="1" applyBorder="1" applyAlignment="1">
      <alignment horizontal="left"/>
    </xf>
    <xf numFmtId="0" fontId="0" fillId="18" borderId="0" xfId="0" applyFill="1"/>
    <xf numFmtId="10" fontId="2" fillId="0" borderId="2" xfId="1" applyNumberFormat="1" applyFont="1" applyBorder="1" applyAlignment="1">
      <alignment wrapText="1"/>
    </xf>
    <xf numFmtId="0" fontId="2" fillId="0" borderId="2" xfId="0" applyFont="1" applyBorder="1" applyAlignment="1">
      <alignment wrapText="1"/>
    </xf>
    <xf numFmtId="1" fontId="2" fillId="0" borderId="2" xfId="0" applyNumberFormat="1" applyFont="1" applyBorder="1" applyAlignment="1">
      <alignment wrapText="1"/>
    </xf>
    <xf numFmtId="167" fontId="0" fillId="0" borderId="2" xfId="0" applyNumberFormat="1" applyBorder="1"/>
    <xf numFmtId="165" fontId="0" fillId="0" borderId="2" xfId="0" applyNumberFormat="1" applyBorder="1"/>
    <xf numFmtId="0" fontId="2" fillId="0" borderId="19" xfId="0" applyFont="1" applyBorder="1"/>
    <xf numFmtId="0" fontId="0" fillId="0" borderId="20" xfId="0" applyBorder="1"/>
    <xf numFmtId="0" fontId="0" fillId="0" borderId="10" xfId="0" applyBorder="1"/>
    <xf numFmtId="0" fontId="0" fillId="0" borderId="12" xfId="0" applyBorder="1"/>
    <xf numFmtId="0" fontId="0" fillId="0" borderId="0" xfId="0" applyFont="1" applyBorder="1" applyAlignment="1">
      <alignment horizontal="right"/>
    </xf>
    <xf numFmtId="0" fontId="0" fillId="0" borderId="0" xfId="0" applyBorder="1" applyAlignment="1">
      <alignment horizontal="right"/>
    </xf>
    <xf numFmtId="0" fontId="16" fillId="0" borderId="0" xfId="0" applyFont="1" applyAlignment="1">
      <alignment horizontal="left" vertical="top" wrapText="1"/>
    </xf>
    <xf numFmtId="0" fontId="14" fillId="8" borderId="1" xfId="9" applyFont="1" applyBorder="1" applyAlignment="1">
      <alignment horizontal="center"/>
    </xf>
    <xf numFmtId="0" fontId="14" fillId="8" borderId="12" xfId="9" applyFont="1" applyBorder="1" applyAlignment="1">
      <alignment horizontal="center"/>
    </xf>
    <xf numFmtId="0" fontId="0" fillId="0" borderId="2" xfId="0"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4"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4" xfId="0" applyBorder="1" applyAlignment="1">
      <alignment horizontal="center"/>
    </xf>
    <xf numFmtId="0" fontId="11" fillId="9" borderId="13" xfId="10" applyFont="1" applyBorder="1" applyAlignment="1">
      <alignment horizontal="center" wrapText="1"/>
    </xf>
    <xf numFmtId="0" fontId="11" fillId="9" borderId="0" xfId="10" applyFont="1" applyBorder="1" applyAlignment="1">
      <alignment horizontal="center" wrapText="1"/>
    </xf>
  </cellXfs>
  <cellStyles count="17">
    <cellStyle name="60% - Accent6" xfId="10" builtinId="52"/>
    <cellStyle name="AFE" xfId="4"/>
    <cellStyle name="AFE 2" xfId="15"/>
    <cellStyle name="Calculation" xfId="7" builtinId="22"/>
    <cellStyle name="Comma" xfId="12" builtinId="3"/>
    <cellStyle name="Comma 11 2" xfId="13"/>
    <cellStyle name="Currency 8" xfId="3"/>
    <cellStyle name="Hyperlink" xfId="11" builtinId="8"/>
    <cellStyle name="Input" xfId="6" builtinId="20"/>
    <cellStyle name="Linked Cell" xfId="8" builtinId="24"/>
    <cellStyle name="Normal" xfId="0" builtinId="0"/>
    <cellStyle name="Normal 2" xfId="5"/>
    <cellStyle name="Normal 2 101" xfId="16"/>
    <cellStyle name="Normal 319" xfId="2"/>
    <cellStyle name="Note" xfId="9" builtinId="10"/>
    <cellStyle name="Percent" xfId="1" builtinId="5"/>
    <cellStyle name="Percent 10 4" xfId="14"/>
  </cellStyles>
  <dxfs count="113">
    <dxf>
      <font>
        <color rgb="FFFFFFFF"/>
      </font>
      <fill>
        <patternFill>
          <bgColor rgb="FF008000"/>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008000"/>
        </patternFill>
      </fill>
    </dxf>
    <dxf>
      <font>
        <color rgb="FFFFFFFF"/>
      </font>
      <fill>
        <patternFill>
          <bgColor rgb="FF008000"/>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008000"/>
        </patternFill>
      </fill>
    </dxf>
    <dxf>
      <font>
        <color rgb="FFFFFFFF"/>
      </font>
      <fill>
        <patternFill>
          <bgColor rgb="FFDC143C"/>
        </patternFill>
      </fill>
    </dxf>
    <dxf>
      <font>
        <color rgb="FFFFFFFF"/>
      </font>
      <fill>
        <patternFill>
          <bgColor rgb="FFDC143C"/>
        </patternFill>
      </fill>
    </dxf>
    <dxf>
      <font>
        <color rgb="FFFFFFFF"/>
      </font>
      <fill>
        <patternFill>
          <bgColor rgb="FF0000FF"/>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0000FF"/>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DC143C"/>
        </patternFill>
      </fill>
    </dxf>
    <dxf>
      <font>
        <color rgb="FFFFFFFF"/>
      </font>
      <fill>
        <patternFill>
          <bgColor rgb="FF0000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wherbert\AppData\Local\Microsoft\Windows\Temporary%20Internet%20Files\Content.Outlook\PQKQ7VAS\PF%20Principal%20and%20ER%20Sustainability%20-%2012122015%20FOWG%20Working%20Draft%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alSeekInfo"/>
      <sheetName val="RiskSwappedFuncs"/>
      <sheetName val="Extended Forecast"/>
      <sheetName val="RiskSerializationData"/>
      <sheetName val="_@RISKFitInformation"/>
      <sheetName val="Reg"/>
      <sheetName val="Returns Inception to date"/>
      <sheetName val="Revenues - Shortcut"/>
      <sheetName val="Result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4"/>
  <sheetViews>
    <sheetView workbookViewId="0"/>
  </sheetViews>
  <sheetFormatPr defaultRowHeight="15" x14ac:dyDescent="0.25"/>
  <sheetData>
    <row r="1" spans="1:40" x14ac:dyDescent="0.25">
      <c r="A1">
        <v>3</v>
      </c>
      <c r="B1">
        <v>0</v>
      </c>
    </row>
    <row r="2" spans="1:40" x14ac:dyDescent="0.25">
      <c r="A2">
        <v>0</v>
      </c>
    </row>
    <row r="3" spans="1:40" x14ac:dyDescent="0.25">
      <c r="A3" t="e">
        <f ca="1">'Fund Model'!$G$37</f>
        <v>#NAME?</v>
      </c>
      <c r="B3" t="b">
        <v>1</v>
      </c>
      <c r="C3">
        <v>0</v>
      </c>
      <c r="D3">
        <v>1</v>
      </c>
      <c r="E3" t="s">
        <v>29</v>
      </c>
      <c r="F3">
        <v>1</v>
      </c>
      <c r="G3">
        <v>0</v>
      </c>
      <c r="H3">
        <v>0</v>
      </c>
      <c r="J3" t="s">
        <v>26</v>
      </c>
      <c r="K3" t="s">
        <v>27</v>
      </c>
      <c r="L3" t="s">
        <v>28</v>
      </c>
      <c r="AG3" t="e">
        <f ca="1">'Fund Model'!$G$37</f>
        <v>#NAME?</v>
      </c>
      <c r="AH3">
        <v>77</v>
      </c>
      <c r="AI3">
        <v>1</v>
      </c>
      <c r="AJ3" t="b">
        <v>0</v>
      </c>
      <c r="AK3" t="b">
        <v>1</v>
      </c>
      <c r="AL3">
        <v>0</v>
      </c>
      <c r="AM3" t="b">
        <v>0</v>
      </c>
      <c r="AN3" t="e">
        <f>_</f>
        <v>#NAME?</v>
      </c>
    </row>
    <row r="4" spans="1:40" x14ac:dyDescent="0.25">
      <c r="A4" s="3">
        <f>'Fund Model'!$K$37</f>
        <v>5265.5481704104013</v>
      </c>
      <c r="B4" t="b">
        <v>1</v>
      </c>
      <c r="C4">
        <v>0</v>
      </c>
      <c r="D4">
        <v>1</v>
      </c>
      <c r="E4" t="s">
        <v>33</v>
      </c>
      <c r="F4">
        <v>1</v>
      </c>
      <c r="G4">
        <v>0</v>
      </c>
      <c r="H4">
        <v>0</v>
      </c>
      <c r="J4" t="s">
        <v>26</v>
      </c>
      <c r="K4" t="s">
        <v>27</v>
      </c>
      <c r="L4" t="s">
        <v>28</v>
      </c>
      <c r="AG4" s="3">
        <f>'Fund Model'!$K$37</f>
        <v>5265.5481704104013</v>
      </c>
      <c r="AH4">
        <v>156</v>
      </c>
      <c r="AI4">
        <v>1</v>
      </c>
      <c r="AJ4" t="b">
        <v>0</v>
      </c>
      <c r="AK4" t="b">
        <v>1</v>
      </c>
      <c r="AL4">
        <v>0</v>
      </c>
      <c r="AM4" t="b">
        <v>0</v>
      </c>
      <c r="AN4" t="e">
        <f>_</f>
        <v>#NAME?</v>
      </c>
    </row>
    <row r="5" spans="1:40" x14ac:dyDescent="0.25">
      <c r="A5" s="3" t="e">
        <f>'Fund Model'!#REF!</f>
        <v>#REF!</v>
      </c>
      <c r="B5" t="b">
        <v>1</v>
      </c>
      <c r="C5">
        <v>0</v>
      </c>
      <c r="D5">
        <v>1</v>
      </c>
      <c r="E5" t="s">
        <v>30</v>
      </c>
      <c r="F5">
        <v>1</v>
      </c>
      <c r="G5">
        <v>0</v>
      </c>
      <c r="H5">
        <v>0</v>
      </c>
      <c r="J5" t="s">
        <v>26</v>
      </c>
      <c r="K5" t="s">
        <v>27</v>
      </c>
      <c r="L5" t="s">
        <v>28</v>
      </c>
      <c r="AG5" s="3" t="e">
        <f>'Fund Model'!#REF!</f>
        <v>#REF!</v>
      </c>
      <c r="AH5">
        <v>408</v>
      </c>
      <c r="AI5">
        <v>1</v>
      </c>
      <c r="AJ5" t="b">
        <v>0</v>
      </c>
      <c r="AK5" t="b">
        <v>1</v>
      </c>
      <c r="AL5">
        <v>0</v>
      </c>
      <c r="AM5" t="b">
        <v>0</v>
      </c>
      <c r="AN5" t="e">
        <f>_</f>
        <v>#NAME?</v>
      </c>
    </row>
    <row r="6" spans="1:40" x14ac:dyDescent="0.25">
      <c r="A6" s="7">
        <v>0</v>
      </c>
      <c r="AG6" s="7"/>
    </row>
    <row r="7" spans="1:40" x14ac:dyDescent="0.25">
      <c r="A7" s="7" t="b">
        <v>0</v>
      </c>
      <c r="B7">
        <v>15680</v>
      </c>
      <c r="C7">
        <v>7345</v>
      </c>
      <c r="D7">
        <v>41920</v>
      </c>
      <c r="E7">
        <v>100</v>
      </c>
      <c r="AG7" s="7"/>
    </row>
    <row r="8" spans="1:40" x14ac:dyDescent="0.25">
      <c r="A8" s="7" t="b">
        <v>0</v>
      </c>
      <c r="B8">
        <v>15680</v>
      </c>
      <c r="C8">
        <v>7345</v>
      </c>
      <c r="D8">
        <v>41920</v>
      </c>
      <c r="E8">
        <v>500</v>
      </c>
      <c r="AG8" s="7"/>
    </row>
    <row r="9" spans="1:40" x14ac:dyDescent="0.25">
      <c r="A9" s="7" t="b">
        <v>0</v>
      </c>
      <c r="B9">
        <v>15680</v>
      </c>
      <c r="C9">
        <v>7345</v>
      </c>
      <c r="D9">
        <v>41920</v>
      </c>
      <c r="E9">
        <v>1000</v>
      </c>
      <c r="AG9" s="7"/>
    </row>
    <row r="10" spans="1:40" x14ac:dyDescent="0.25">
      <c r="A10" s="7" t="b">
        <v>0</v>
      </c>
      <c r="B10">
        <v>15680</v>
      </c>
      <c r="C10">
        <v>7345</v>
      </c>
      <c r="D10">
        <v>41920</v>
      </c>
      <c r="E10">
        <v>1500</v>
      </c>
      <c r="AG10" s="7"/>
    </row>
    <row r="11" spans="1:40" x14ac:dyDescent="0.25">
      <c r="A11" s="7" t="b">
        <v>0</v>
      </c>
      <c r="B11">
        <v>15680</v>
      </c>
      <c r="C11">
        <v>7345</v>
      </c>
      <c r="D11">
        <v>41920</v>
      </c>
      <c r="E11">
        <v>2000</v>
      </c>
      <c r="AG11" s="7"/>
    </row>
    <row r="12" spans="1:40" x14ac:dyDescent="0.25">
      <c r="A12" s="7">
        <v>0</v>
      </c>
      <c r="AG12" s="7"/>
    </row>
    <row r="13" spans="1:40" x14ac:dyDescent="0.25">
      <c r="A13">
        <v>0</v>
      </c>
      <c r="B13" t="b">
        <v>0</v>
      </c>
      <c r="C13" t="b">
        <v>0</v>
      </c>
      <c r="D13">
        <v>10</v>
      </c>
      <c r="E13">
        <v>0.95</v>
      </c>
      <c r="F13">
        <v>1</v>
      </c>
    </row>
    <row r="14" spans="1:40" x14ac:dyDescent="0.25">
      <c r="A14" s="7"/>
      <c r="AG14"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2:M22"/>
  <sheetViews>
    <sheetView showGridLines="0" workbookViewId="0">
      <selection activeCell="F6" sqref="F6"/>
    </sheetView>
  </sheetViews>
  <sheetFormatPr defaultColWidth="9.140625" defaultRowHeight="15.75" x14ac:dyDescent="0.25"/>
  <cols>
    <col min="1" max="4" width="9.140625" style="48"/>
    <col min="5" max="5" width="8" style="48" customWidth="1"/>
    <col min="6" max="6" width="18.28515625" style="48" customWidth="1"/>
    <col min="7" max="7" width="13.28515625" style="48" customWidth="1"/>
    <col min="8" max="16384" width="9.140625" style="48"/>
  </cols>
  <sheetData>
    <row r="2" spans="6:13" x14ac:dyDescent="0.25">
      <c r="F2" s="61" t="s">
        <v>252</v>
      </c>
    </row>
    <row r="3" spans="6:13" x14ac:dyDescent="0.25">
      <c r="F3" s="48" t="s">
        <v>250</v>
      </c>
    </row>
    <row r="4" spans="6:13" x14ac:dyDescent="0.25">
      <c r="F4" s="48" t="s">
        <v>251</v>
      </c>
    </row>
    <row r="5" spans="6:13" x14ac:dyDescent="0.25">
      <c r="F5" s="48" t="s">
        <v>334</v>
      </c>
    </row>
    <row r="6" spans="6:13" x14ac:dyDescent="0.25">
      <c r="F6" s="48" t="s">
        <v>336</v>
      </c>
    </row>
    <row r="7" spans="6:13" x14ac:dyDescent="0.25">
      <c r="F7" s="48" t="s">
        <v>335</v>
      </c>
    </row>
    <row r="8" spans="6:13" x14ac:dyDescent="0.25">
      <c r="F8" s="48" t="s">
        <v>300</v>
      </c>
    </row>
    <row r="9" spans="6:13" x14ac:dyDescent="0.25">
      <c r="F9" s="48" t="s">
        <v>56</v>
      </c>
    </row>
    <row r="11" spans="6:13" x14ac:dyDescent="0.25">
      <c r="F11" s="61" t="s">
        <v>50</v>
      </c>
    </row>
    <row r="12" spans="6:13" ht="30.75" customHeight="1" x14ac:dyDescent="0.25">
      <c r="F12" s="301" t="s">
        <v>302</v>
      </c>
      <c r="G12" s="301"/>
      <c r="H12" s="301"/>
      <c r="I12" s="301"/>
      <c r="J12" s="301"/>
      <c r="K12" s="301"/>
      <c r="L12" s="301"/>
      <c r="M12" s="301"/>
    </row>
    <row r="13" spans="6:13" ht="36.75" customHeight="1" x14ac:dyDescent="0.25">
      <c r="F13" s="301"/>
      <c r="G13" s="301"/>
      <c r="H13" s="301"/>
      <c r="I13" s="301"/>
      <c r="J13" s="301"/>
      <c r="K13" s="301"/>
      <c r="L13" s="301"/>
      <c r="M13" s="301"/>
    </row>
    <row r="14" spans="6:13" x14ac:dyDescent="0.25">
      <c r="F14" s="61" t="s">
        <v>98</v>
      </c>
    </row>
    <row r="15" spans="6:13" x14ac:dyDescent="0.25">
      <c r="F15" s="48" t="s">
        <v>51</v>
      </c>
    </row>
    <row r="16" spans="6:13" x14ac:dyDescent="0.25">
      <c r="F16" s="62" t="s">
        <v>52</v>
      </c>
      <c r="G16" s="48" t="s">
        <v>57</v>
      </c>
    </row>
    <row r="17" spans="6:7" x14ac:dyDescent="0.25">
      <c r="F17" s="62" t="s">
        <v>53</v>
      </c>
      <c r="G17" s="48" t="s">
        <v>58</v>
      </c>
    </row>
    <row r="18" spans="6:7" x14ac:dyDescent="0.25">
      <c r="F18" s="62" t="s">
        <v>54</v>
      </c>
      <c r="G18" s="48" t="s">
        <v>59</v>
      </c>
    </row>
    <row r="20" spans="6:7" x14ac:dyDescent="0.25">
      <c r="F20" s="61" t="s">
        <v>55</v>
      </c>
    </row>
    <row r="21" spans="6:7" x14ac:dyDescent="0.25">
      <c r="F21" s="48" t="s">
        <v>301</v>
      </c>
    </row>
    <row r="22" spans="6:7" x14ac:dyDescent="0.25">
      <c r="F22" s="48" t="s">
        <v>333</v>
      </c>
    </row>
  </sheetData>
  <mergeCells count="1">
    <mergeCell ref="F12:M13"/>
  </mergeCells>
  <hyperlinks>
    <hyperlink ref="F16" location="Assumptions!A1" display="Assumptions"/>
    <hyperlink ref="F17" location="'Projections model'!A1" display="Projections model"/>
    <hyperlink ref="F18" location="'Back-up&gt;&gt;'!A1" display="Back-up"/>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4"/>
  <sheetViews>
    <sheetView showGridLines="0" zoomScale="90" zoomScaleNormal="90" workbookViewId="0">
      <selection activeCell="C21" sqref="C21"/>
    </sheetView>
  </sheetViews>
  <sheetFormatPr defaultRowHeight="15" x14ac:dyDescent="0.25"/>
  <cols>
    <col min="1" max="1" width="3.7109375" style="6" customWidth="1"/>
    <col min="2" max="2" width="33.7109375" customWidth="1"/>
    <col min="3" max="3" width="24.85546875" style="13" customWidth="1"/>
    <col min="4" max="4" width="17.140625" customWidth="1"/>
    <col min="5" max="26" width="12.7109375" bestFit="1" customWidth="1"/>
  </cols>
  <sheetData>
    <row r="1" spans="1:26" x14ac:dyDescent="0.25">
      <c r="B1" s="5" t="s">
        <v>71</v>
      </c>
    </row>
    <row r="2" spans="1:26" x14ac:dyDescent="0.25">
      <c r="B2" s="19" t="s">
        <v>69</v>
      </c>
    </row>
    <row r="3" spans="1:26" x14ac:dyDescent="0.25">
      <c r="B3" s="280" t="s">
        <v>249</v>
      </c>
    </row>
    <row r="4" spans="1:26" x14ac:dyDescent="0.25">
      <c r="B4" s="22" t="s">
        <v>70</v>
      </c>
    </row>
    <row r="5" spans="1:26" x14ac:dyDescent="0.25">
      <c r="B5" s="35" t="s">
        <v>76</v>
      </c>
    </row>
    <row r="6" spans="1:26" x14ac:dyDescent="0.25">
      <c r="B6" s="49" t="s">
        <v>81</v>
      </c>
    </row>
    <row r="8" spans="1:26" x14ac:dyDescent="0.25">
      <c r="B8" s="37" t="s">
        <v>52</v>
      </c>
      <c r="C8" s="38"/>
      <c r="D8" s="42"/>
      <c r="E8" s="42"/>
      <c r="F8" s="42"/>
      <c r="G8" s="42"/>
      <c r="H8" s="42"/>
      <c r="I8" s="42"/>
      <c r="J8" s="42"/>
      <c r="K8" s="42"/>
      <c r="L8" s="42"/>
      <c r="M8" s="42"/>
      <c r="N8" s="42"/>
      <c r="O8" s="42"/>
      <c r="P8" s="42"/>
      <c r="Q8" s="42"/>
      <c r="R8" s="42"/>
      <c r="S8" s="42"/>
      <c r="T8" s="42"/>
      <c r="U8" s="42"/>
      <c r="V8" s="42"/>
      <c r="W8" s="42"/>
      <c r="X8" s="42"/>
      <c r="Y8" s="42"/>
      <c r="Z8" s="42"/>
    </row>
    <row r="9" spans="1:26" x14ac:dyDescent="0.25">
      <c r="B9" s="5"/>
    </row>
    <row r="10" spans="1:26" x14ac:dyDescent="0.25">
      <c r="A10" s="6">
        <v>1</v>
      </c>
      <c r="B10" s="40" t="s">
        <v>67</v>
      </c>
      <c r="C10" s="41"/>
      <c r="D10" s="39"/>
      <c r="E10" s="39"/>
      <c r="F10" s="39"/>
      <c r="G10" s="39"/>
      <c r="H10" s="39"/>
      <c r="I10" s="39"/>
      <c r="J10" s="39"/>
      <c r="K10" s="39"/>
      <c r="L10" s="39"/>
      <c r="M10" s="39"/>
      <c r="N10" s="39"/>
      <c r="O10" s="39"/>
      <c r="P10" s="39"/>
      <c r="Q10" s="39"/>
      <c r="R10" s="39"/>
      <c r="S10" s="39"/>
      <c r="T10" s="39"/>
      <c r="U10" s="39"/>
      <c r="V10" s="39"/>
      <c r="W10" s="39"/>
      <c r="X10" s="39"/>
      <c r="Y10" s="39"/>
      <c r="Z10" s="39"/>
    </row>
    <row r="11" spans="1:26" x14ac:dyDescent="0.25">
      <c r="B11" s="5"/>
    </row>
    <row r="12" spans="1:26" x14ac:dyDescent="0.25">
      <c r="B12" s="17" t="s">
        <v>68</v>
      </c>
      <c r="C12" s="34">
        <v>2017</v>
      </c>
    </row>
    <row r="13" spans="1:26" x14ac:dyDescent="0.25">
      <c r="B13" s="17" t="s">
        <v>89</v>
      </c>
      <c r="C13" s="34">
        <v>2</v>
      </c>
    </row>
    <row r="14" spans="1:26" x14ac:dyDescent="0.25">
      <c r="B14" s="17" t="s">
        <v>107</v>
      </c>
      <c r="C14" s="33">
        <v>2.2499999999999999E-2</v>
      </c>
    </row>
    <row r="15" spans="1:26" x14ac:dyDescent="0.25">
      <c r="B15" s="29" t="s">
        <v>73</v>
      </c>
      <c r="C15" s="36" t="s">
        <v>101</v>
      </c>
    </row>
    <row r="16" spans="1:26" x14ac:dyDescent="0.25">
      <c r="B16" s="54"/>
      <c r="C16"/>
    </row>
    <row r="17" spans="1:26" x14ac:dyDescent="0.25">
      <c r="A17" s="6">
        <v>2</v>
      </c>
      <c r="B17" s="40" t="s">
        <v>88</v>
      </c>
      <c r="C17" s="41"/>
      <c r="D17" s="39"/>
      <c r="E17" s="39"/>
      <c r="F17" s="39"/>
      <c r="G17" s="39"/>
      <c r="H17" s="39"/>
      <c r="I17" s="39"/>
      <c r="J17" s="39"/>
      <c r="K17" s="39"/>
      <c r="L17" s="39"/>
      <c r="M17" s="39"/>
      <c r="N17" s="39"/>
      <c r="O17" s="39"/>
      <c r="P17" s="39"/>
      <c r="Q17" s="39"/>
      <c r="R17" s="39"/>
      <c r="S17" s="39"/>
      <c r="T17" s="39"/>
      <c r="U17" s="39"/>
      <c r="V17" s="39"/>
      <c r="W17" s="39"/>
      <c r="X17" s="39"/>
      <c r="Y17" s="39"/>
      <c r="Z17" s="39"/>
    </row>
    <row r="18" spans="1:26" x14ac:dyDescent="0.25">
      <c r="B18" s="54"/>
      <c r="C18"/>
    </row>
    <row r="19" spans="1:26" x14ac:dyDescent="0.25">
      <c r="B19" s="17" t="s">
        <v>311</v>
      </c>
      <c r="C19" s="25" t="s">
        <v>91</v>
      </c>
    </row>
    <row r="20" spans="1:26" x14ac:dyDescent="0.25">
      <c r="B20" s="20" t="s">
        <v>94</v>
      </c>
      <c r="C20" s="285">
        <v>55000</v>
      </c>
    </row>
    <row r="21" spans="1:26" x14ac:dyDescent="0.25">
      <c r="B21" s="29" t="s">
        <v>73</v>
      </c>
      <c r="C21" s="287" t="s">
        <v>303</v>
      </c>
    </row>
    <row r="22" spans="1:26" x14ac:dyDescent="0.25">
      <c r="B22" s="54"/>
      <c r="C22"/>
    </row>
    <row r="23" spans="1:26" x14ac:dyDescent="0.25">
      <c r="B23" s="23" t="s">
        <v>32</v>
      </c>
      <c r="C23" s="25" t="s">
        <v>91</v>
      </c>
    </row>
    <row r="24" spans="1:26" x14ac:dyDescent="0.25">
      <c r="B24" s="20" t="s">
        <v>108</v>
      </c>
      <c r="C24" s="285">
        <v>3300</v>
      </c>
    </row>
    <row r="25" spans="1:26" x14ac:dyDescent="0.25">
      <c r="B25" s="29" t="s">
        <v>73</v>
      </c>
      <c r="C25" s="36" t="s">
        <v>304</v>
      </c>
    </row>
    <row r="26" spans="1:26" x14ac:dyDescent="0.25">
      <c r="B26" s="54"/>
      <c r="C26"/>
    </row>
    <row r="27" spans="1:26" x14ac:dyDescent="0.25">
      <c r="B27" s="17" t="s">
        <v>92</v>
      </c>
      <c r="C27" s="25" t="s">
        <v>91</v>
      </c>
    </row>
    <row r="28" spans="1:26" x14ac:dyDescent="0.25">
      <c r="B28" s="20" t="s">
        <v>36</v>
      </c>
      <c r="C28" s="285">
        <v>40000</v>
      </c>
    </row>
    <row r="29" spans="1:26" x14ac:dyDescent="0.25">
      <c r="B29" s="20" t="s">
        <v>93</v>
      </c>
      <c r="C29" s="285">
        <v>5500</v>
      </c>
    </row>
    <row r="30" spans="1:26" x14ac:dyDescent="0.25">
      <c r="B30" s="21" t="s">
        <v>37</v>
      </c>
      <c r="C30" s="67">
        <f>C20-C29-C28</f>
        <v>9500</v>
      </c>
    </row>
    <row r="31" spans="1:26" x14ac:dyDescent="0.25">
      <c r="B31" s="29" t="s">
        <v>73</v>
      </c>
      <c r="C31" s="287" t="s">
        <v>303</v>
      </c>
    </row>
    <row r="32" spans="1:26" x14ac:dyDescent="0.25">
      <c r="B32" s="50"/>
      <c r="C32"/>
    </row>
    <row r="33" spans="1:26" x14ac:dyDescent="0.25">
      <c r="B33" s="17" t="s">
        <v>244</v>
      </c>
      <c r="C33" s="25" t="s">
        <v>91</v>
      </c>
    </row>
    <row r="34" spans="1:26" x14ac:dyDescent="0.25">
      <c r="B34" s="20" t="s">
        <v>124</v>
      </c>
      <c r="C34" s="285">
        <v>160</v>
      </c>
    </row>
    <row r="35" spans="1:26" x14ac:dyDescent="0.25">
      <c r="B35" s="29" t="s">
        <v>73</v>
      </c>
      <c r="C35" s="36"/>
    </row>
    <row r="36" spans="1:26" x14ac:dyDescent="0.25">
      <c r="A36"/>
      <c r="C36"/>
    </row>
    <row r="37" spans="1:26" x14ac:dyDescent="0.25">
      <c r="B37" s="28" t="s">
        <v>125</v>
      </c>
      <c r="C37" s="34">
        <v>4</v>
      </c>
    </row>
    <row r="38" spans="1:26" x14ac:dyDescent="0.25">
      <c r="B38" s="29" t="s">
        <v>73</v>
      </c>
      <c r="C38" s="36" t="s">
        <v>304</v>
      </c>
    </row>
    <row r="39" spans="1:26" x14ac:dyDescent="0.25">
      <c r="B39" s="5"/>
    </row>
    <row r="40" spans="1:26" x14ac:dyDescent="0.25">
      <c r="A40" s="6">
        <v>2</v>
      </c>
      <c r="B40" s="40" t="s">
        <v>83</v>
      </c>
      <c r="C40" s="41"/>
      <c r="D40" s="39"/>
      <c r="E40" s="39"/>
      <c r="F40" s="39"/>
      <c r="G40" s="39"/>
      <c r="H40" s="39"/>
      <c r="I40" s="39"/>
      <c r="J40" s="39"/>
      <c r="K40" s="39"/>
      <c r="L40" s="39"/>
      <c r="M40" s="39"/>
      <c r="N40" s="39"/>
      <c r="O40" s="39"/>
      <c r="P40" s="39"/>
      <c r="Q40" s="39"/>
      <c r="R40" s="39"/>
      <c r="S40" s="39"/>
      <c r="T40" s="39"/>
      <c r="U40" s="39"/>
      <c r="V40" s="39"/>
      <c r="W40" s="39"/>
      <c r="X40" s="39"/>
      <c r="Y40" s="39"/>
      <c r="Z40" s="39"/>
    </row>
    <row r="42" spans="1:26" x14ac:dyDescent="0.25">
      <c r="B42" s="23" t="s">
        <v>112</v>
      </c>
      <c r="C42" s="25" t="s">
        <v>85</v>
      </c>
    </row>
    <row r="43" spans="1:26" x14ac:dyDescent="0.25">
      <c r="B43" s="20" t="s">
        <v>310</v>
      </c>
      <c r="C43" s="31">
        <v>6.9000000000000006E-2</v>
      </c>
    </row>
    <row r="44" spans="1:26" x14ac:dyDescent="0.25">
      <c r="B44" s="21" t="s">
        <v>35</v>
      </c>
      <c r="C44" s="279">
        <v>0.13900000000000001</v>
      </c>
    </row>
    <row r="45" spans="1:26" x14ac:dyDescent="0.25">
      <c r="B45" s="21" t="s">
        <v>99</v>
      </c>
      <c r="C45" s="32">
        <f>C43+(C44^2)/2</f>
        <v>7.8660500000000008E-2</v>
      </c>
    </row>
    <row r="46" spans="1:26" x14ac:dyDescent="0.25">
      <c r="B46" s="29" t="s">
        <v>73</v>
      </c>
      <c r="C46" s="36" t="s">
        <v>101</v>
      </c>
    </row>
    <row r="48" spans="1:26" x14ac:dyDescent="0.25">
      <c r="B48" s="23" t="s">
        <v>122</v>
      </c>
      <c r="C48" s="25" t="s">
        <v>85</v>
      </c>
    </row>
    <row r="49" spans="1:26" x14ac:dyDescent="0.25">
      <c r="B49" s="18" t="s">
        <v>44</v>
      </c>
      <c r="C49" s="281">
        <v>3.6999999999999998E-2</v>
      </c>
    </row>
    <row r="50" spans="1:26" x14ac:dyDescent="0.25">
      <c r="B50" s="18" t="s">
        <v>45</v>
      </c>
      <c r="C50" s="33">
        <v>6.0100000000000001E-2</v>
      </c>
    </row>
    <row r="51" spans="1:26" x14ac:dyDescent="0.25">
      <c r="B51" s="18" t="s">
        <v>43</v>
      </c>
      <c r="C51" s="281">
        <v>8.14E-2</v>
      </c>
    </row>
    <row r="52" spans="1:26" x14ac:dyDescent="0.25">
      <c r="B52" s="30" t="s">
        <v>73</v>
      </c>
      <c r="C52" s="36" t="s">
        <v>106</v>
      </c>
    </row>
    <row r="53" spans="1:26" x14ac:dyDescent="0.25">
      <c r="B53" s="30" t="s">
        <v>74</v>
      </c>
      <c r="C53" s="282" t="s">
        <v>75</v>
      </c>
    </row>
    <row r="54" spans="1:26" ht="15.75" x14ac:dyDescent="0.25">
      <c r="F54" s="48"/>
    </row>
    <row r="56" spans="1:26" x14ac:dyDescent="0.25">
      <c r="B56" s="17" t="s">
        <v>64</v>
      </c>
      <c r="C56" s="24" t="s">
        <v>72</v>
      </c>
      <c r="D56" s="24" t="s">
        <v>63</v>
      </c>
    </row>
    <row r="57" spans="1:26" x14ac:dyDescent="0.25">
      <c r="B57" s="17" t="s">
        <v>72</v>
      </c>
      <c r="C57" s="282">
        <v>1</v>
      </c>
      <c r="D57" s="282"/>
    </row>
    <row r="58" spans="1:26" x14ac:dyDescent="0.25">
      <c r="B58" s="17" t="s">
        <v>63</v>
      </c>
      <c r="C58" s="282">
        <v>0.75</v>
      </c>
      <c r="D58" s="282">
        <v>1</v>
      </c>
    </row>
    <row r="59" spans="1:26" x14ac:dyDescent="0.25">
      <c r="B59" s="43" t="s">
        <v>73</v>
      </c>
      <c r="C59" s="302" t="s">
        <v>100</v>
      </c>
      <c r="D59" s="303"/>
    </row>
    <row r="61" spans="1:26" x14ac:dyDescent="0.25">
      <c r="A61" s="6">
        <v>3</v>
      </c>
      <c r="B61" s="40" t="s">
        <v>60</v>
      </c>
      <c r="C61" s="41"/>
      <c r="D61" s="39"/>
      <c r="E61" s="39"/>
      <c r="F61" s="39"/>
      <c r="G61" s="39"/>
      <c r="H61" s="39"/>
      <c r="I61" s="39"/>
      <c r="J61" s="39"/>
      <c r="K61" s="39"/>
      <c r="L61" s="39"/>
      <c r="M61" s="39"/>
      <c r="N61" s="39"/>
      <c r="O61" s="39"/>
      <c r="P61" s="39"/>
      <c r="Q61" s="39"/>
      <c r="R61" s="39"/>
      <c r="S61" s="39"/>
      <c r="T61" s="39"/>
      <c r="U61" s="39"/>
      <c r="V61" s="39"/>
      <c r="W61" s="39"/>
      <c r="X61" s="39"/>
      <c r="Y61" s="39"/>
      <c r="Z61" s="39"/>
    </row>
    <row r="62" spans="1:26" s="6" customFormat="1" x14ac:dyDescent="0.25">
      <c r="B62" s="277" t="s">
        <v>225</v>
      </c>
      <c r="C62" s="278" t="s">
        <v>246</v>
      </c>
    </row>
    <row r="63" spans="1:26" s="6" customFormat="1" x14ac:dyDescent="0.25">
      <c r="B63" s="17" t="s">
        <v>245</v>
      </c>
      <c r="C63" s="34" t="s">
        <v>225</v>
      </c>
    </row>
    <row r="64" spans="1:26" s="6" customFormat="1" x14ac:dyDescent="0.25">
      <c r="B64" s="70"/>
      <c r="C64" s="71"/>
    </row>
    <row r="65" spans="1:32" x14ac:dyDescent="0.25">
      <c r="C65" s="305" t="s">
        <v>61</v>
      </c>
      <c r="D65" s="306"/>
      <c r="E65" s="307"/>
      <c r="F65" s="24" t="s">
        <v>62</v>
      </c>
    </row>
    <row r="66" spans="1:32" x14ac:dyDescent="0.25">
      <c r="C66" s="304" t="s">
        <v>86</v>
      </c>
      <c r="D66" s="304"/>
      <c r="E66" s="304"/>
      <c r="F66" s="53" t="s">
        <v>87</v>
      </c>
      <c r="H66" s="72"/>
      <c r="I66" s="75"/>
      <c r="J66" s="52"/>
      <c r="K66" s="52"/>
      <c r="L66" s="52"/>
      <c r="M66" s="52"/>
      <c r="N66" s="52"/>
      <c r="O66" s="52"/>
      <c r="P66" s="52"/>
      <c r="Q66" s="52"/>
      <c r="R66" s="52"/>
      <c r="S66" s="52"/>
      <c r="T66" s="52"/>
      <c r="U66" s="52"/>
      <c r="V66" s="52"/>
      <c r="W66" s="52"/>
      <c r="X66" s="52"/>
      <c r="Y66" s="52"/>
      <c r="Z66" s="52"/>
      <c r="AA66" s="52"/>
      <c r="AB66" s="52"/>
      <c r="AC66" s="52"/>
      <c r="AD66" s="52"/>
      <c r="AE66" s="52"/>
      <c r="AF66" s="52"/>
    </row>
    <row r="67" spans="1:32" x14ac:dyDescent="0.25">
      <c r="B67" s="5" t="s">
        <v>248</v>
      </c>
      <c r="C67" s="308" t="s">
        <v>75</v>
      </c>
      <c r="D67" s="309"/>
      <c r="E67" s="310"/>
      <c r="F67" s="25" t="s">
        <v>126</v>
      </c>
      <c r="H67" s="72"/>
      <c r="I67" s="75"/>
      <c r="J67" s="52"/>
      <c r="K67" s="52"/>
      <c r="L67" s="52"/>
      <c r="M67" s="52"/>
      <c r="N67" s="52"/>
      <c r="O67" s="52"/>
      <c r="P67" s="52"/>
      <c r="Q67" s="52"/>
      <c r="R67" s="52"/>
      <c r="S67" s="52"/>
      <c r="T67" s="52"/>
      <c r="U67" s="52"/>
      <c r="V67" s="52"/>
      <c r="W67" s="52"/>
      <c r="X67" s="52"/>
      <c r="Y67" s="52"/>
      <c r="Z67" s="52"/>
      <c r="AA67" s="52"/>
      <c r="AB67" s="52"/>
      <c r="AC67" s="52"/>
      <c r="AD67" s="52"/>
      <c r="AE67" s="52"/>
      <c r="AF67" s="52"/>
    </row>
    <row r="68" spans="1:32" x14ac:dyDescent="0.25">
      <c r="B68" s="17" t="s">
        <v>65</v>
      </c>
      <c r="C68" s="17" t="s">
        <v>78</v>
      </c>
      <c r="D68" s="17" t="s">
        <v>79</v>
      </c>
      <c r="E68" s="17" t="s">
        <v>80</v>
      </c>
      <c r="F68" s="73" t="s">
        <v>84</v>
      </c>
      <c r="H68" s="72"/>
      <c r="I68" s="76"/>
      <c r="J68" s="76"/>
      <c r="K68" s="76"/>
      <c r="L68" s="76"/>
      <c r="M68" s="76"/>
      <c r="N68" s="76"/>
      <c r="O68" s="76"/>
      <c r="P68" s="76"/>
      <c r="Q68" s="76"/>
      <c r="R68" s="76"/>
      <c r="S68" s="76"/>
      <c r="T68" s="76"/>
      <c r="U68" s="76"/>
      <c r="V68" s="76"/>
      <c r="W68" s="76"/>
      <c r="X68" s="76"/>
      <c r="Y68" s="76"/>
      <c r="Z68" s="76"/>
      <c r="AA68" s="76"/>
      <c r="AB68" s="76"/>
      <c r="AC68" s="76"/>
      <c r="AD68" s="76"/>
      <c r="AE68" s="76"/>
      <c r="AF68" s="76"/>
    </row>
    <row r="69" spans="1:32" x14ac:dyDescent="0.25">
      <c r="B69" s="24">
        <v>2017</v>
      </c>
      <c r="C69" s="283">
        <v>86.890818228076398</v>
      </c>
      <c r="D69" s="81">
        <v>56.232079542234906</v>
      </c>
      <c r="E69" s="283">
        <v>30.668133936616826</v>
      </c>
      <c r="F69" s="74">
        <v>0.5048605285827753</v>
      </c>
      <c r="H69" s="72"/>
      <c r="I69" s="77"/>
      <c r="J69" s="77"/>
      <c r="K69" s="77"/>
      <c r="L69" s="77"/>
      <c r="M69" s="77"/>
      <c r="N69" s="77"/>
      <c r="O69" s="77"/>
      <c r="P69" s="77"/>
      <c r="Q69" s="77"/>
      <c r="R69" s="77"/>
      <c r="S69" s="77"/>
      <c r="T69" s="77"/>
      <c r="U69" s="77"/>
      <c r="V69" s="77"/>
      <c r="W69" s="77"/>
      <c r="X69" s="77"/>
      <c r="Y69" s="77"/>
      <c r="Z69" s="77"/>
      <c r="AA69" s="77"/>
      <c r="AB69" s="77"/>
      <c r="AC69" s="77"/>
      <c r="AD69" s="77"/>
      <c r="AE69" s="77"/>
      <c r="AF69" s="77"/>
    </row>
    <row r="70" spans="1:32" x14ac:dyDescent="0.25">
      <c r="B70" s="24">
        <f t="shared" ref="B70:B92" si="0">B69+1</f>
        <v>2018</v>
      </c>
      <c r="C70" s="283">
        <v>96.174740758354261</v>
      </c>
      <c r="D70" s="81">
        <v>62.721269443404978</v>
      </c>
      <c r="E70" s="283">
        <v>36.056807770554506</v>
      </c>
      <c r="F70" s="74">
        <v>0.49770158660070379</v>
      </c>
      <c r="H70" s="72"/>
      <c r="I70" s="77"/>
      <c r="J70" s="77"/>
      <c r="K70" s="77"/>
      <c r="L70" s="77"/>
      <c r="M70" s="77"/>
      <c r="N70" s="77"/>
      <c r="O70" s="77"/>
      <c r="P70" s="77"/>
      <c r="Q70" s="77"/>
      <c r="R70" s="77"/>
      <c r="S70" s="77"/>
      <c r="T70" s="77"/>
      <c r="U70" s="77"/>
      <c r="V70" s="77"/>
      <c r="W70" s="77"/>
      <c r="X70" s="77"/>
      <c r="Y70" s="77"/>
      <c r="Z70" s="77"/>
      <c r="AA70" s="77"/>
      <c r="AB70" s="77"/>
      <c r="AC70" s="77"/>
      <c r="AD70" s="77"/>
      <c r="AE70" s="77"/>
      <c r="AF70" s="77"/>
    </row>
    <row r="71" spans="1:32" x14ac:dyDescent="0.25">
      <c r="B71" s="24">
        <f t="shared" si="0"/>
        <v>2019</v>
      </c>
      <c r="C71" s="283">
        <v>106.87796532054027</v>
      </c>
      <c r="D71" s="81">
        <v>68.941414299001579</v>
      </c>
      <c r="E71" s="283">
        <v>36.326168409760854</v>
      </c>
      <c r="F71" s="74">
        <v>0.48758446942825645</v>
      </c>
      <c r="H71" s="72"/>
      <c r="I71" s="77"/>
      <c r="J71" s="77"/>
      <c r="K71" s="77"/>
      <c r="L71" s="77"/>
      <c r="M71" s="77"/>
      <c r="N71" s="77"/>
      <c r="O71" s="77"/>
      <c r="P71" s="77"/>
      <c r="Q71" s="77"/>
      <c r="R71" s="77"/>
      <c r="S71" s="77"/>
      <c r="T71" s="77"/>
      <c r="U71" s="77"/>
      <c r="V71" s="77"/>
      <c r="W71" s="77"/>
      <c r="X71" s="77"/>
      <c r="Y71" s="77"/>
      <c r="Z71" s="77"/>
      <c r="AA71" s="77"/>
      <c r="AB71" s="77"/>
      <c r="AC71" s="77"/>
      <c r="AD71" s="77"/>
      <c r="AE71" s="77"/>
      <c r="AF71" s="77"/>
    </row>
    <row r="72" spans="1:32" x14ac:dyDescent="0.25">
      <c r="B72" s="24">
        <f t="shared" si="0"/>
        <v>2020</v>
      </c>
      <c r="C72" s="283">
        <v>109.30370369181585</v>
      </c>
      <c r="D72" s="81">
        <v>71.049393571950944</v>
      </c>
      <c r="E72" s="283">
        <v>39.876762381917487</v>
      </c>
      <c r="F72" s="74">
        <v>0.46047570615626332</v>
      </c>
      <c r="H72" s="50"/>
      <c r="I72" s="51"/>
      <c r="J72" s="52"/>
      <c r="K72" s="52"/>
      <c r="L72" s="52"/>
      <c r="M72" s="52"/>
      <c r="N72" s="52"/>
      <c r="O72" s="52"/>
      <c r="P72" s="52"/>
      <c r="Q72" s="52"/>
      <c r="R72" s="52"/>
      <c r="S72" s="52"/>
      <c r="T72" s="52"/>
      <c r="U72" s="52"/>
      <c r="V72" s="52"/>
      <c r="W72" s="52"/>
      <c r="X72" s="52"/>
      <c r="Y72" s="52"/>
      <c r="Z72" s="52"/>
      <c r="AA72" s="52"/>
      <c r="AB72" s="52"/>
      <c r="AC72" s="52"/>
      <c r="AD72" s="52"/>
      <c r="AE72" s="52"/>
      <c r="AF72" s="52"/>
    </row>
    <row r="73" spans="1:32" x14ac:dyDescent="0.25">
      <c r="A73"/>
      <c r="B73" s="24">
        <f t="shared" si="0"/>
        <v>2021</v>
      </c>
      <c r="C73" s="283">
        <v>122.92370557652987</v>
      </c>
      <c r="D73" s="81">
        <v>77.670592361264937</v>
      </c>
      <c r="E73" s="283">
        <v>43.020387819125062</v>
      </c>
      <c r="F73" s="74">
        <v>0.42385692616412257</v>
      </c>
      <c r="H73" s="72"/>
      <c r="I73" s="78"/>
      <c r="J73" s="52"/>
      <c r="K73" s="52"/>
      <c r="L73" s="52"/>
      <c r="M73" s="52"/>
      <c r="N73" s="52"/>
      <c r="O73" s="52"/>
      <c r="P73" s="52"/>
      <c r="Q73" s="52"/>
      <c r="R73" s="52"/>
      <c r="S73" s="52"/>
      <c r="T73" s="52"/>
      <c r="U73" s="52"/>
      <c r="V73" s="52"/>
      <c r="W73" s="52"/>
      <c r="X73" s="52"/>
      <c r="Y73" s="52"/>
      <c r="Z73" s="52"/>
      <c r="AA73" s="52"/>
      <c r="AB73" s="52"/>
      <c r="AC73" s="52"/>
      <c r="AD73" s="52"/>
      <c r="AE73" s="52"/>
      <c r="AF73" s="52"/>
    </row>
    <row r="74" spans="1:32" s="6" customFormat="1" x14ac:dyDescent="0.25">
      <c r="B74" s="24">
        <f t="shared" si="0"/>
        <v>2022</v>
      </c>
      <c r="C74" s="283">
        <v>135.39867637979546</v>
      </c>
      <c r="D74" s="81">
        <v>79.985719189646133</v>
      </c>
      <c r="E74" s="283">
        <v>39.996481791769689</v>
      </c>
      <c r="F74" s="74">
        <v>0.39109103214453245</v>
      </c>
      <c r="H74" s="50"/>
      <c r="I74" s="51"/>
      <c r="J74" s="52"/>
      <c r="K74" s="52"/>
      <c r="L74" s="52"/>
      <c r="M74" s="52"/>
      <c r="N74" s="52"/>
      <c r="O74" s="52"/>
      <c r="P74" s="52"/>
      <c r="Q74" s="52"/>
      <c r="R74" s="52"/>
      <c r="S74" s="52"/>
      <c r="T74" s="52"/>
      <c r="U74" s="52"/>
      <c r="V74" s="52"/>
      <c r="W74" s="52"/>
      <c r="X74" s="52"/>
      <c r="Y74" s="52"/>
      <c r="Z74" s="52"/>
      <c r="AA74" s="52"/>
      <c r="AB74" s="52"/>
      <c r="AC74" s="52"/>
      <c r="AD74" s="52"/>
      <c r="AE74" s="52"/>
      <c r="AF74" s="52"/>
    </row>
    <row r="75" spans="1:32" s="6" customFormat="1" x14ac:dyDescent="0.25">
      <c r="B75" s="24">
        <f t="shared" si="0"/>
        <v>2023</v>
      </c>
      <c r="C75" s="283">
        <v>140.17642424430389</v>
      </c>
      <c r="D75" s="81">
        <v>81.778913712961298</v>
      </c>
      <c r="E75" s="283">
        <v>41.473017851771935</v>
      </c>
      <c r="F75" s="74">
        <v>0.35979086465446325</v>
      </c>
      <c r="H75" s="72"/>
      <c r="I75" s="79"/>
      <c r="J75" s="52"/>
      <c r="K75" s="52"/>
      <c r="L75" s="52"/>
      <c r="M75" s="52"/>
      <c r="N75" s="52"/>
      <c r="O75" s="52"/>
      <c r="P75" s="52"/>
      <c r="Q75" s="52"/>
      <c r="R75" s="52"/>
      <c r="S75" s="52"/>
      <c r="T75" s="52"/>
      <c r="U75" s="52"/>
      <c r="V75" s="52"/>
      <c r="W75" s="52"/>
      <c r="X75" s="52"/>
      <c r="Y75" s="52"/>
      <c r="Z75" s="52"/>
      <c r="AA75" s="52"/>
      <c r="AB75" s="52"/>
      <c r="AC75" s="52"/>
      <c r="AD75" s="52"/>
      <c r="AE75" s="52"/>
      <c r="AF75" s="52"/>
    </row>
    <row r="76" spans="1:32" s="6" customFormat="1" x14ac:dyDescent="0.25">
      <c r="B76" s="24">
        <f t="shared" si="0"/>
        <v>2024</v>
      </c>
      <c r="C76" s="283">
        <v>143.36435328248257</v>
      </c>
      <c r="D76" s="81">
        <v>84.56</v>
      </c>
      <c r="E76" s="283">
        <v>41.786671039087082</v>
      </c>
      <c r="F76" s="74">
        <v>0.32919684206796107</v>
      </c>
      <c r="H76" s="72"/>
      <c r="I76" s="76"/>
      <c r="J76" s="76"/>
      <c r="K76" s="76"/>
      <c r="L76" s="76"/>
      <c r="M76" s="76"/>
      <c r="N76" s="76"/>
      <c r="O76" s="76"/>
      <c r="P76" s="76"/>
      <c r="Q76" s="76"/>
      <c r="R76" s="76"/>
      <c r="S76" s="76"/>
      <c r="T76" s="76"/>
      <c r="U76" s="76"/>
      <c r="V76" s="76"/>
      <c r="W76" s="76"/>
      <c r="X76" s="76"/>
      <c r="Y76" s="76"/>
      <c r="Z76" s="76"/>
      <c r="AA76" s="76"/>
      <c r="AB76" s="76"/>
      <c r="AC76" s="76"/>
      <c r="AD76" s="76"/>
      <c r="AE76" s="76"/>
      <c r="AF76" s="76"/>
    </row>
    <row r="77" spans="1:32" s="6" customFormat="1" x14ac:dyDescent="0.25">
      <c r="B77" s="24">
        <f t="shared" si="0"/>
        <v>2025</v>
      </c>
      <c r="C77" s="283">
        <v>154.50512655251001</v>
      </c>
      <c r="D77" s="81">
        <v>87.344497565763135</v>
      </c>
      <c r="E77" s="283">
        <v>44.587198734172247</v>
      </c>
      <c r="F77" s="74">
        <v>0.30208759361815918</v>
      </c>
      <c r="H77" s="72"/>
      <c r="I77" s="80"/>
      <c r="J77" s="80"/>
      <c r="K77" s="80"/>
      <c r="L77" s="80"/>
      <c r="M77" s="80"/>
      <c r="N77" s="80"/>
      <c r="O77" s="80"/>
      <c r="P77" s="80"/>
      <c r="Q77" s="80"/>
      <c r="R77" s="80"/>
      <c r="S77" s="80"/>
      <c r="T77" s="80"/>
      <c r="U77" s="80"/>
      <c r="V77" s="80"/>
      <c r="W77" s="80"/>
      <c r="X77" s="80"/>
      <c r="Y77" s="80"/>
      <c r="Z77" s="80"/>
      <c r="AA77" s="80"/>
      <c r="AB77" s="80"/>
      <c r="AC77" s="80"/>
      <c r="AD77" s="80"/>
      <c r="AE77" s="80"/>
      <c r="AF77" s="80"/>
    </row>
    <row r="78" spans="1:32" s="6" customFormat="1" x14ac:dyDescent="0.25">
      <c r="B78" s="24">
        <f t="shared" si="0"/>
        <v>2026</v>
      </c>
      <c r="C78" s="283">
        <v>162.35105951211358</v>
      </c>
      <c r="D78" s="81">
        <v>88.044527053276397</v>
      </c>
      <c r="E78" s="283">
        <v>43.699070231463132</v>
      </c>
      <c r="F78" s="74">
        <v>0.27804028619088955</v>
      </c>
      <c r="H78" s="50"/>
      <c r="I78" s="51"/>
      <c r="J78" s="52"/>
      <c r="K78" s="52"/>
      <c r="L78" s="52"/>
      <c r="M78" s="52"/>
      <c r="N78" s="52"/>
      <c r="O78" s="52"/>
      <c r="P78" s="52"/>
      <c r="Q78" s="52"/>
      <c r="R78" s="52"/>
      <c r="S78" s="52"/>
      <c r="T78" s="52"/>
      <c r="U78" s="52"/>
      <c r="V78" s="52"/>
      <c r="W78" s="52"/>
      <c r="X78" s="52"/>
      <c r="Y78" s="52"/>
      <c r="Z78" s="52"/>
      <c r="AA78" s="52"/>
      <c r="AB78" s="52"/>
      <c r="AC78" s="52"/>
      <c r="AD78" s="52"/>
      <c r="AE78" s="52"/>
      <c r="AF78" s="52"/>
    </row>
    <row r="79" spans="1:32" x14ac:dyDescent="0.25">
      <c r="B79" s="24">
        <f t="shared" si="0"/>
        <v>2027</v>
      </c>
      <c r="C79" s="283">
        <v>166.00395835113613</v>
      </c>
      <c r="D79" s="81">
        <v>90.025528911975115</v>
      </c>
      <c r="E79" s="283">
        <v>44.682299311671052</v>
      </c>
      <c r="F79" s="74">
        <v>0.25700249435767702</v>
      </c>
      <c r="H79" s="72"/>
      <c r="I79" s="78"/>
      <c r="J79" s="52"/>
      <c r="K79" s="52"/>
      <c r="L79" s="52"/>
      <c r="M79" s="52"/>
      <c r="N79" s="52"/>
      <c r="O79" s="52"/>
      <c r="P79" s="52"/>
      <c r="Q79" s="52"/>
      <c r="R79" s="52"/>
      <c r="S79" s="52"/>
      <c r="T79" s="52"/>
      <c r="U79" s="52"/>
      <c r="V79" s="52"/>
      <c r="W79" s="52"/>
      <c r="X79" s="52"/>
      <c r="Y79" s="52"/>
      <c r="Z79" s="52"/>
      <c r="AA79" s="52"/>
      <c r="AB79" s="52"/>
      <c r="AC79" s="52"/>
      <c r="AD79" s="52"/>
      <c r="AE79" s="52"/>
      <c r="AF79" s="52"/>
    </row>
    <row r="80" spans="1:32" x14ac:dyDescent="0.25">
      <c r="B80" s="24">
        <f t="shared" si="0"/>
        <v>2028</v>
      </c>
      <c r="C80" s="283">
        <v>169.73904741403669</v>
      </c>
      <c r="D80" s="81">
        <v>92.051103312494547</v>
      </c>
      <c r="E80" s="283">
        <v>45.687651046183646</v>
      </c>
      <c r="F80" s="74">
        <v>0.23837795487327157</v>
      </c>
      <c r="H80" s="72"/>
      <c r="I80" s="72"/>
      <c r="J80" s="52"/>
      <c r="K80" s="52"/>
      <c r="L80" s="52"/>
      <c r="M80" s="52"/>
      <c r="N80" s="52"/>
      <c r="O80" s="52"/>
      <c r="P80" s="52"/>
      <c r="Q80" s="52"/>
      <c r="R80" s="52"/>
      <c r="S80" s="52"/>
      <c r="T80" s="52"/>
      <c r="U80" s="52"/>
      <c r="V80" s="52"/>
      <c r="W80" s="52"/>
      <c r="X80" s="52"/>
      <c r="Y80" s="52"/>
      <c r="Z80" s="52"/>
      <c r="AA80" s="52"/>
      <c r="AB80" s="52"/>
      <c r="AC80" s="52"/>
      <c r="AD80" s="52"/>
      <c r="AE80" s="52"/>
      <c r="AF80" s="52"/>
    </row>
    <row r="81" spans="1:32" x14ac:dyDescent="0.25">
      <c r="B81" s="24">
        <f t="shared" si="0"/>
        <v>2029</v>
      </c>
      <c r="C81" s="283">
        <v>173.5581759808525</v>
      </c>
      <c r="D81" s="81">
        <v>94.122253137025666</v>
      </c>
      <c r="E81" s="283">
        <v>46.715623194722774</v>
      </c>
      <c r="F81" s="74">
        <v>0.2215014908183556</v>
      </c>
      <c r="H81" s="72"/>
      <c r="I81" s="72"/>
      <c r="J81" s="52"/>
      <c r="K81" s="52"/>
      <c r="L81" s="52"/>
      <c r="M81" s="52"/>
      <c r="N81" s="52"/>
      <c r="O81" s="52"/>
      <c r="P81" s="52"/>
      <c r="Q81" s="52"/>
      <c r="R81" s="52"/>
      <c r="S81" s="52"/>
      <c r="T81" s="52"/>
      <c r="U81" s="52"/>
      <c r="V81" s="52"/>
      <c r="W81" s="52"/>
      <c r="X81" s="52"/>
      <c r="Y81" s="52"/>
      <c r="Z81" s="52"/>
      <c r="AA81" s="52"/>
      <c r="AB81" s="52"/>
      <c r="AC81" s="52"/>
      <c r="AD81" s="52"/>
      <c r="AE81" s="52"/>
      <c r="AF81" s="52"/>
    </row>
    <row r="82" spans="1:32" x14ac:dyDescent="0.25">
      <c r="B82" s="24">
        <f t="shared" si="0"/>
        <v>2030</v>
      </c>
      <c r="C82" s="283">
        <v>177.46323494042167</v>
      </c>
      <c r="D82" s="81">
        <v>96.240003832608735</v>
      </c>
      <c r="E82" s="283">
        <v>47.766724716604031</v>
      </c>
      <c r="F82" s="74">
        <v>0.20607589503064883</v>
      </c>
    </row>
    <row r="83" spans="1:32" x14ac:dyDescent="0.25">
      <c r="B83" s="24">
        <f t="shared" si="0"/>
        <v>2031</v>
      </c>
      <c r="C83" s="283">
        <v>181.45615772658115</v>
      </c>
      <c r="D83" s="81">
        <v>98.405403918842424</v>
      </c>
      <c r="E83" s="283">
        <v>48.841476022727619</v>
      </c>
      <c r="F83" s="74">
        <v>0.19243851778034612</v>
      </c>
    </row>
    <row r="84" spans="1:32" x14ac:dyDescent="0.25">
      <c r="B84" s="24">
        <f t="shared" si="0"/>
        <v>2032</v>
      </c>
      <c r="C84" s="283">
        <v>185.53892127542923</v>
      </c>
      <c r="D84" s="81">
        <v>100.61952550701638</v>
      </c>
      <c r="E84" s="283">
        <v>49.940409233238988</v>
      </c>
      <c r="F84" s="74">
        <v>0.18034468536309661</v>
      </c>
    </row>
    <row r="85" spans="1:32" x14ac:dyDescent="0.25">
      <c r="B85" s="24">
        <f t="shared" si="0"/>
        <v>2033</v>
      </c>
      <c r="C85" s="283">
        <v>189.71354700412638</v>
      </c>
      <c r="D85" s="81">
        <v>102.88346483092424</v>
      </c>
      <c r="E85" s="283">
        <v>51.064068440986865</v>
      </c>
      <c r="F85" s="74">
        <v>0.16911257851364422</v>
      </c>
    </row>
    <row r="86" spans="1:32" x14ac:dyDescent="0.25">
      <c r="B86" s="24">
        <f t="shared" si="0"/>
        <v>2034</v>
      </c>
      <c r="C86" s="283">
        <v>193.98210181171922</v>
      </c>
      <c r="D86" s="81">
        <v>105.19834278962003</v>
      </c>
      <c r="E86" s="283">
        <v>52.213009980909071</v>
      </c>
      <c r="F86" s="74">
        <v>0.15861637615908386</v>
      </c>
    </row>
    <row r="87" spans="1:32" x14ac:dyDescent="0.25">
      <c r="B87" s="24">
        <f t="shared" si="0"/>
        <v>2035</v>
      </c>
      <c r="C87" s="283">
        <v>198.34669910248289</v>
      </c>
      <c r="D87" s="81">
        <v>107.56530550238648</v>
      </c>
      <c r="E87" s="283">
        <v>53.387802705479523</v>
      </c>
      <c r="F87" s="74">
        <v>0.14926200574121068</v>
      </c>
    </row>
    <row r="88" spans="1:32" x14ac:dyDescent="0.25">
      <c r="B88" s="24">
        <f t="shared" si="0"/>
        <v>2036</v>
      </c>
      <c r="C88" s="283">
        <v>202.80949983228874</v>
      </c>
      <c r="D88" s="81">
        <v>109.98552487619017</v>
      </c>
      <c r="E88" s="283">
        <v>54.589028266352813</v>
      </c>
      <c r="F88" s="74">
        <v>0.14091029358596918</v>
      </c>
    </row>
    <row r="89" spans="1:32" x14ac:dyDescent="0.25">
      <c r="B89" s="24">
        <f t="shared" si="0"/>
        <v>2037</v>
      </c>
      <c r="C89" s="283">
        <v>207.37271357851523</v>
      </c>
      <c r="D89" s="81">
        <v>112.46019918590444</v>
      </c>
      <c r="E89" s="283">
        <v>55.817281402345749</v>
      </c>
      <c r="F89" s="74">
        <v>0.13301571309333338</v>
      </c>
    </row>
    <row r="90" spans="1:32" x14ac:dyDescent="0.25">
      <c r="B90" s="24">
        <f t="shared" si="0"/>
        <v>2038</v>
      </c>
      <c r="C90" s="283">
        <v>212.03859963403181</v>
      </c>
      <c r="D90" s="81">
        <v>114.99055366758729</v>
      </c>
      <c r="E90" s="283">
        <v>57.073170233898523</v>
      </c>
      <c r="F90" s="74">
        <v>0.1255137242000024</v>
      </c>
    </row>
    <row r="91" spans="1:32" x14ac:dyDescent="0.25">
      <c r="B91" s="24">
        <f t="shared" si="0"/>
        <v>2039</v>
      </c>
      <c r="C91" s="283">
        <v>216.80946812579751</v>
      </c>
      <c r="D91" s="81">
        <v>117.57784112510801</v>
      </c>
      <c r="E91" s="283">
        <v>58.357316564161238</v>
      </c>
      <c r="F91" s="74">
        <v>0.1188032162364392</v>
      </c>
    </row>
    <row r="92" spans="1:32" x14ac:dyDescent="0.25">
      <c r="B92" s="24">
        <f t="shared" si="0"/>
        <v>2040</v>
      </c>
      <c r="C92" s="283">
        <v>221.68768115862795</v>
      </c>
      <c r="D92" s="81">
        <v>120.22334255042294</v>
      </c>
      <c r="E92" s="283">
        <v>59.67035618685486</v>
      </c>
      <c r="F92" s="74">
        <v>0.1127935859824189</v>
      </c>
    </row>
    <row r="93" spans="1:32" x14ac:dyDescent="0.25">
      <c r="B93" s="43" t="s">
        <v>73</v>
      </c>
      <c r="C93" s="302" t="s">
        <v>102</v>
      </c>
      <c r="D93" s="303"/>
      <c r="E93" s="303"/>
      <c r="F93" s="303"/>
    </row>
    <row r="94" spans="1:32" ht="30" customHeight="1" x14ac:dyDescent="0.25">
      <c r="B94" s="28" t="s">
        <v>82</v>
      </c>
      <c r="C94" s="311" t="s">
        <v>90</v>
      </c>
      <c r="D94" s="312"/>
      <c r="E94" s="312"/>
      <c r="F94" s="312"/>
    </row>
    <row r="96" spans="1:32" x14ac:dyDescent="0.25">
      <c r="A96" s="6">
        <v>4</v>
      </c>
      <c r="B96" s="40" t="s">
        <v>103</v>
      </c>
      <c r="C96" s="41"/>
      <c r="D96" s="39"/>
      <c r="E96" s="39"/>
      <c r="F96" s="39"/>
      <c r="G96" s="39"/>
      <c r="H96" s="39"/>
      <c r="I96" s="39"/>
      <c r="J96" s="39"/>
      <c r="K96" s="39"/>
      <c r="L96" s="39"/>
      <c r="M96" s="39"/>
      <c r="N96" s="39"/>
      <c r="O96" s="39"/>
      <c r="P96" s="39"/>
      <c r="Q96" s="39"/>
      <c r="R96" s="39"/>
      <c r="S96" s="39"/>
      <c r="T96" s="39"/>
      <c r="U96" s="39"/>
      <c r="V96" s="39"/>
      <c r="W96" s="39"/>
      <c r="X96" s="39"/>
      <c r="Y96" s="39"/>
      <c r="Z96" s="39"/>
    </row>
    <row r="97" spans="2:4" s="6" customFormat="1" x14ac:dyDescent="0.25">
      <c r="B97" s="70"/>
      <c r="C97" s="71"/>
    </row>
    <row r="98" spans="2:4" x14ac:dyDescent="0.25">
      <c r="D98" s="25" t="s">
        <v>91</v>
      </c>
    </row>
    <row r="99" spans="2:4" x14ac:dyDescent="0.25">
      <c r="B99" s="17" t="s">
        <v>65</v>
      </c>
      <c r="C99" s="24" t="s">
        <v>105</v>
      </c>
      <c r="D99" s="24" t="s">
        <v>104</v>
      </c>
    </row>
    <row r="100" spans="2:4" x14ac:dyDescent="0.25">
      <c r="B100" s="25">
        <f>C12</f>
        <v>2017</v>
      </c>
      <c r="C100" s="69">
        <v>643650.88</v>
      </c>
      <c r="D100" s="81">
        <v>8</v>
      </c>
    </row>
    <row r="101" spans="2:4" x14ac:dyDescent="0.25">
      <c r="B101" s="25">
        <f>B100+1</f>
        <v>2018</v>
      </c>
      <c r="C101" s="69">
        <v>650293.88</v>
      </c>
      <c r="D101" s="81">
        <v>8.18</v>
      </c>
    </row>
    <row r="102" spans="2:4" x14ac:dyDescent="0.25">
      <c r="B102" s="25">
        <f t="shared" ref="B102:B123" si="1">B101+1</f>
        <v>2019</v>
      </c>
      <c r="C102" s="69">
        <v>656869.5</v>
      </c>
      <c r="D102" s="81">
        <v>8.3640499999999989</v>
      </c>
    </row>
    <row r="103" spans="2:4" x14ac:dyDescent="0.25">
      <c r="B103" s="25">
        <f t="shared" si="1"/>
        <v>2020</v>
      </c>
      <c r="C103" s="69">
        <v>663380.38</v>
      </c>
      <c r="D103" s="81">
        <v>8.5522411250000001</v>
      </c>
    </row>
    <row r="104" spans="2:4" x14ac:dyDescent="0.25">
      <c r="B104" s="25">
        <f t="shared" si="1"/>
        <v>2021</v>
      </c>
      <c r="C104" s="69">
        <v>669797.63</v>
      </c>
      <c r="D104" s="81">
        <v>8.7446665503125001</v>
      </c>
    </row>
    <row r="105" spans="2:4" x14ac:dyDescent="0.25">
      <c r="B105" s="25">
        <f t="shared" si="1"/>
        <v>2022</v>
      </c>
      <c r="C105" s="69">
        <v>676131.75</v>
      </c>
      <c r="D105" s="81">
        <v>8.9414215476945316</v>
      </c>
    </row>
    <row r="106" spans="2:4" x14ac:dyDescent="0.25">
      <c r="B106" s="25">
        <f t="shared" si="1"/>
        <v>2023</v>
      </c>
      <c r="C106" s="69">
        <v>682335.5</v>
      </c>
      <c r="D106" s="81">
        <v>9.1426035325176578</v>
      </c>
    </row>
    <row r="107" spans="2:4" x14ac:dyDescent="0.25">
      <c r="B107" s="25">
        <f t="shared" si="1"/>
        <v>2024</v>
      </c>
      <c r="C107" s="69">
        <v>688423.75</v>
      </c>
      <c r="D107" s="81">
        <v>9.348312111999304</v>
      </c>
    </row>
    <row r="108" spans="2:4" x14ac:dyDescent="0.25">
      <c r="B108" s="25">
        <f t="shared" si="1"/>
        <v>2025</v>
      </c>
      <c r="C108" s="69">
        <v>694390.38</v>
      </c>
      <c r="D108" s="81">
        <v>9.5586491345192872</v>
      </c>
    </row>
    <row r="109" spans="2:4" x14ac:dyDescent="0.25">
      <c r="B109" s="25">
        <f t="shared" si="1"/>
        <v>2026</v>
      </c>
      <c r="C109" s="69">
        <v>700235.38</v>
      </c>
      <c r="D109" s="81">
        <v>9.7737187400459717</v>
      </c>
    </row>
    <row r="110" spans="2:4" x14ac:dyDescent="0.25">
      <c r="B110" s="25">
        <f t="shared" si="1"/>
        <v>2027</v>
      </c>
      <c r="C110" s="69">
        <v>705955.25</v>
      </c>
      <c r="D110" s="81">
        <v>9.9936274116970054</v>
      </c>
    </row>
    <row r="111" spans="2:4" x14ac:dyDescent="0.25">
      <c r="B111" s="25">
        <f t="shared" si="1"/>
        <v>2028</v>
      </c>
      <c r="C111" s="69">
        <v>711548.25</v>
      </c>
      <c r="D111" s="81">
        <v>10.218484028460187</v>
      </c>
    </row>
    <row r="112" spans="2:4" x14ac:dyDescent="0.25">
      <c r="B112" s="25">
        <f t="shared" si="1"/>
        <v>2029</v>
      </c>
      <c r="C112" s="69">
        <v>717046.75</v>
      </c>
      <c r="D112" s="81">
        <v>10.448399919100542</v>
      </c>
    </row>
    <row r="113" spans="2:4" x14ac:dyDescent="0.25">
      <c r="B113" s="25">
        <f t="shared" si="1"/>
        <v>2030</v>
      </c>
      <c r="C113" s="69">
        <v>722433.25</v>
      </c>
      <c r="D113" s="81">
        <v>10.683488917280302</v>
      </c>
    </row>
    <row r="114" spans="2:4" x14ac:dyDescent="0.25">
      <c r="B114" s="25">
        <f t="shared" si="1"/>
        <v>2031</v>
      </c>
      <c r="C114" s="69">
        <v>727709.5</v>
      </c>
      <c r="D114" s="81">
        <v>10.92386741791911</v>
      </c>
    </row>
    <row r="115" spans="2:4" x14ac:dyDescent="0.25">
      <c r="B115" s="25">
        <f t="shared" si="1"/>
        <v>2032</v>
      </c>
      <c r="C115" s="69">
        <v>732914.88</v>
      </c>
      <c r="D115" s="81">
        <v>11.169654434822288</v>
      </c>
    </row>
    <row r="116" spans="2:4" x14ac:dyDescent="0.25">
      <c r="B116" s="25">
        <f t="shared" si="1"/>
        <v>2033</v>
      </c>
      <c r="C116" s="69">
        <v>738013.5</v>
      </c>
      <c r="D116" s="81">
        <v>11.42097165960579</v>
      </c>
    </row>
    <row r="117" spans="2:4" x14ac:dyDescent="0.25">
      <c r="B117" s="25">
        <f t="shared" si="1"/>
        <v>2034</v>
      </c>
      <c r="C117" s="69">
        <v>743043.88</v>
      </c>
      <c r="D117" s="81">
        <v>11.67794352194692</v>
      </c>
    </row>
    <row r="118" spans="2:4" x14ac:dyDescent="0.25">
      <c r="B118" s="25">
        <f t="shared" si="1"/>
        <v>2035</v>
      </c>
      <c r="C118" s="69">
        <v>748029.63</v>
      </c>
      <c r="D118" s="81">
        <v>11.940697251190725</v>
      </c>
    </row>
    <row r="119" spans="2:4" x14ac:dyDescent="0.25">
      <c r="B119" s="25">
        <f t="shared" si="1"/>
        <v>2036</v>
      </c>
      <c r="C119" s="69">
        <v>752965.5</v>
      </c>
      <c r="D119" s="81">
        <v>12.209362939342517</v>
      </c>
    </row>
    <row r="120" spans="2:4" x14ac:dyDescent="0.25">
      <c r="B120" s="25">
        <f t="shared" si="1"/>
        <v>2037</v>
      </c>
      <c r="C120" s="69">
        <v>757869.88</v>
      </c>
      <c r="D120" s="81">
        <v>12.484073605477723</v>
      </c>
    </row>
    <row r="121" spans="2:4" x14ac:dyDescent="0.25">
      <c r="B121" s="25">
        <f t="shared" si="1"/>
        <v>2038</v>
      </c>
      <c r="C121" s="69">
        <v>762769.88</v>
      </c>
      <c r="D121" s="81">
        <v>12.764965261600972</v>
      </c>
    </row>
    <row r="122" spans="2:4" x14ac:dyDescent="0.25">
      <c r="B122" s="25">
        <f t="shared" si="1"/>
        <v>2039</v>
      </c>
      <c r="C122" s="69">
        <v>767659.38</v>
      </c>
      <c r="D122" s="81">
        <v>13.052176979986992</v>
      </c>
    </row>
    <row r="123" spans="2:4" x14ac:dyDescent="0.25">
      <c r="B123" s="25">
        <f t="shared" si="1"/>
        <v>2040</v>
      </c>
      <c r="C123" s="69">
        <v>772534.88</v>
      </c>
      <c r="D123" s="81">
        <v>13.3458509620367</v>
      </c>
    </row>
    <row r="124" spans="2:4" x14ac:dyDescent="0.25">
      <c r="B124" s="43" t="s">
        <v>73</v>
      </c>
      <c r="C124" s="302" t="s">
        <v>305</v>
      </c>
      <c r="D124" s="303"/>
    </row>
  </sheetData>
  <mergeCells count="7">
    <mergeCell ref="C124:D124"/>
    <mergeCell ref="C59:D59"/>
    <mergeCell ref="C66:E66"/>
    <mergeCell ref="C65:E65"/>
    <mergeCell ref="C67:E67"/>
    <mergeCell ref="C93:F93"/>
    <mergeCell ref="C94:F94"/>
  </mergeCells>
  <dataValidations count="1">
    <dataValidation type="list" allowBlank="1" showInputMessage="1" showErrorMessage="1" sqref="C63">
      <formula1>$B$62:$C$62</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7"/>
  <sheetViews>
    <sheetView showGridLines="0" zoomScaleNormal="100" workbookViewId="0">
      <selection activeCell="K45" sqref="K45"/>
    </sheetView>
  </sheetViews>
  <sheetFormatPr defaultRowHeight="15" x14ac:dyDescent="0.25"/>
  <cols>
    <col min="2" max="2" width="30" customWidth="1"/>
    <col min="3" max="3" width="15.85546875" customWidth="1"/>
    <col min="4" max="4" width="18.140625" bestFit="1" customWidth="1"/>
    <col min="5" max="5" width="18.7109375" bestFit="1" customWidth="1"/>
    <col min="6" max="6" width="18.140625" bestFit="1" customWidth="1"/>
    <col min="7" max="7" width="19.140625" bestFit="1" customWidth="1"/>
    <col min="8" max="8" width="19.7109375" bestFit="1" customWidth="1"/>
    <col min="9" max="9" width="15.28515625" customWidth="1"/>
    <col min="10" max="10" width="16.7109375" bestFit="1" customWidth="1"/>
    <col min="11" max="11" width="21" bestFit="1" customWidth="1"/>
    <col min="12" max="12" width="25.5703125" bestFit="1" customWidth="1"/>
    <col min="13" max="13" width="19.85546875" bestFit="1" customWidth="1"/>
    <col min="14" max="14" width="16.85546875" customWidth="1"/>
    <col min="15" max="15" width="19" bestFit="1" customWidth="1"/>
    <col min="16" max="16" width="2.5703125" customWidth="1"/>
    <col min="17" max="17" width="14.140625" bestFit="1" customWidth="1"/>
    <col min="18" max="18" width="11.28515625" customWidth="1"/>
    <col min="19" max="19" width="14.28515625" customWidth="1"/>
    <col min="20" max="20" width="19.28515625" bestFit="1" customWidth="1"/>
    <col min="21" max="21" width="16.28515625" bestFit="1" customWidth="1"/>
    <col min="22" max="22" width="20.5703125" bestFit="1" customWidth="1"/>
    <col min="23" max="23" width="19.28515625" bestFit="1" customWidth="1"/>
    <col min="25" max="25" width="14.140625" bestFit="1" customWidth="1"/>
    <col min="26" max="26" width="16.28515625" bestFit="1" customWidth="1"/>
    <col min="27" max="27" width="20.5703125" bestFit="1" customWidth="1"/>
    <col min="28" max="28" width="19.28515625" bestFit="1" customWidth="1"/>
    <col min="29" max="29" width="6.7109375" customWidth="1"/>
    <col min="31" max="32" width="28.140625" bestFit="1" customWidth="1"/>
    <col min="33" max="33" width="20.42578125" customWidth="1"/>
    <col min="34" max="34" width="9.140625" customWidth="1"/>
    <col min="36" max="36" width="19.5703125" bestFit="1" customWidth="1"/>
    <col min="37" max="37" width="14.140625" bestFit="1" customWidth="1"/>
    <col min="38" max="39" width="12" bestFit="1" customWidth="1"/>
    <col min="45" max="45" width="16.85546875" bestFit="1" customWidth="1"/>
  </cols>
  <sheetData>
    <row r="1" spans="2:25" x14ac:dyDescent="0.25">
      <c r="B1" s="5" t="s">
        <v>71</v>
      </c>
    </row>
    <row r="2" spans="2:25" ht="15.75" thickBot="1" x14ac:dyDescent="0.3">
      <c r="B2" s="46" t="s">
        <v>77</v>
      </c>
    </row>
    <row r="3" spans="2:25" ht="15.75" thickTop="1" x14ac:dyDescent="0.25">
      <c r="B3" t="s">
        <v>315</v>
      </c>
    </row>
    <row r="4" spans="2:25" s="39" customFormat="1" x14ac:dyDescent="0.25">
      <c r="B4" s="60" t="s">
        <v>52</v>
      </c>
    </row>
    <row r="6" spans="2:25" ht="15" customHeight="1" x14ac:dyDescent="0.25"/>
    <row r="7" spans="2:25" ht="15.75" thickBot="1" x14ac:dyDescent="0.3">
      <c r="D7" s="300" t="s">
        <v>25</v>
      </c>
      <c r="E7" s="46">
        <f>Assumptions!C20</f>
        <v>55000</v>
      </c>
      <c r="H7" t="s">
        <v>47</v>
      </c>
      <c r="Q7" t="s">
        <v>34</v>
      </c>
      <c r="R7" s="46">
        <f>Assumptions!C13</f>
        <v>2</v>
      </c>
      <c r="S7" s="47"/>
      <c r="T7" s="11" t="s">
        <v>42</v>
      </c>
      <c r="U7" s="12" t="str">
        <f ca="1">"Year 1 / Statitory Earn Rate in "&amp;CELL("address",$I$45)</f>
        <v>Year 1 / Statitory Earn Rate in $I$45</v>
      </c>
      <c r="V7" s="12" t="str">
        <f ca="1">"Year 1 / Earn Rate in "&amp;CELL("address",$D$14)</f>
        <v>Year 1 / Earn Rate in $D$14</v>
      </c>
    </row>
    <row r="8" spans="2:25" ht="16.5" thickTop="1" thickBot="1" x14ac:dyDescent="0.3">
      <c r="D8" s="299" t="s">
        <v>310</v>
      </c>
      <c r="E8" s="44">
        <f>Assumptions!C43</f>
        <v>6.9000000000000006E-2</v>
      </c>
      <c r="G8" s="47" t="s">
        <v>99</v>
      </c>
      <c r="H8" s="45">
        <f>Assumptions!C45</f>
        <v>7.8660500000000008E-2</v>
      </c>
      <c r="Q8" t="s">
        <v>109</v>
      </c>
      <c r="R8" s="46">
        <f>Assumptions!C24</f>
        <v>3300</v>
      </c>
      <c r="S8" s="47"/>
      <c r="T8" s="12" t="str">
        <f ca="1">"Year 1 / Statitory Earn Rate in "&amp;CELL("address",$I$45)</f>
        <v>Year 1 / Statitory Earn Rate in $I$45</v>
      </c>
      <c r="U8" s="58">
        <f>Assumptions!C57</f>
        <v>1</v>
      </c>
      <c r="V8" s="58"/>
    </row>
    <row r="9" spans="2:25" ht="16.5" thickTop="1" thickBot="1" x14ac:dyDescent="0.3">
      <c r="D9" s="300" t="s">
        <v>35</v>
      </c>
      <c r="E9" s="44">
        <f>Assumptions!C44</f>
        <v>0.13900000000000001</v>
      </c>
      <c r="Q9" t="s">
        <v>31</v>
      </c>
      <c r="R9" s="44">
        <f>Assumptions!C14</f>
        <v>2.2499999999999999E-2</v>
      </c>
      <c r="T9" s="12" t="str">
        <f ca="1">"Year 1 / Earn Rate in "&amp;CELL("address",$D$14)</f>
        <v>Year 1 / Earn Rate in $D$14</v>
      </c>
      <c r="U9" s="58">
        <f>Assumptions!C58</f>
        <v>0.75</v>
      </c>
      <c r="V9" s="58">
        <f>Assumptions!D58</f>
        <v>1</v>
      </c>
    </row>
    <row r="10" spans="2:25" ht="15.75" thickTop="1" x14ac:dyDescent="0.25">
      <c r="Q10" s="2"/>
    </row>
    <row r="11" spans="2:25" s="39" customFormat="1" x14ac:dyDescent="0.25">
      <c r="B11" s="60" t="s">
        <v>95</v>
      </c>
      <c r="Q11" s="55"/>
      <c r="U11" s="56"/>
      <c r="V11" s="57"/>
      <c r="W11" s="56"/>
    </row>
    <row r="12" spans="2:25" x14ac:dyDescent="0.25">
      <c r="T12" s="5" t="s">
        <v>46</v>
      </c>
    </row>
    <row r="13" spans="2:25" x14ac:dyDescent="0.25">
      <c r="B13" s="24" t="s">
        <v>259</v>
      </c>
      <c r="C13" s="24" t="s">
        <v>66</v>
      </c>
      <c r="D13" s="24" t="s">
        <v>112</v>
      </c>
      <c r="E13" s="24" t="s">
        <v>110</v>
      </c>
      <c r="F13" s="24" t="s">
        <v>113</v>
      </c>
      <c r="G13" s="24" t="s">
        <v>48</v>
      </c>
      <c r="H13" s="24" t="s">
        <v>40</v>
      </c>
      <c r="I13" s="24" t="s">
        <v>24</v>
      </c>
      <c r="J13" s="24" t="s">
        <v>114</v>
      </c>
      <c r="K13" s="24" t="s">
        <v>115</v>
      </c>
      <c r="L13" s="24" t="s">
        <v>116</v>
      </c>
      <c r="M13" s="24" t="s">
        <v>117</v>
      </c>
      <c r="N13" s="24" t="s">
        <v>118</v>
      </c>
      <c r="O13" s="24" t="s">
        <v>119</v>
      </c>
      <c r="P13" s="14"/>
      <c r="Q13" s="24" t="s">
        <v>120</v>
      </c>
      <c r="T13" s="68" t="s">
        <v>123</v>
      </c>
      <c r="U13" s="68" t="s">
        <v>104</v>
      </c>
      <c r="V13" s="68" t="s">
        <v>105</v>
      </c>
      <c r="W13" s="68" t="s">
        <v>111</v>
      </c>
      <c r="X13" s="47"/>
      <c r="Y13" s="17" t="s">
        <v>97</v>
      </c>
    </row>
    <row r="14" spans="2:25" ht="15.75" thickBot="1" x14ac:dyDescent="0.3">
      <c r="B14" s="284">
        <f>Assumptions!C12</f>
        <v>2017</v>
      </c>
      <c r="C14" s="25" t="s">
        <v>0</v>
      </c>
      <c r="D14" s="26" t="e">
        <f ca="1">IF(F14&lt;0,0,IF(F14&lt;0,0,_xll.RiskNormal($H$8,$E$9,_xll.RiskCorrmat($U$8:$V$9,2,C14),_xll.RiskStatic($E$8))))</f>
        <v>#NAME?</v>
      </c>
      <c r="E14" s="63" t="e">
        <f ca="1">_xll.RiskOutput(,E13,1)+'Petroleum Model'!C165</f>
        <v>#NAME?</v>
      </c>
      <c r="F14" s="64">
        <f>E7</f>
        <v>55000</v>
      </c>
      <c r="G14" s="65">
        <f>_xll.RiskOutput(,G13,1)+F14/(1+$R$9)^($B14-2017)</f>
        <v>55000</v>
      </c>
      <c r="H14" s="64" t="e">
        <f ca="1">_xll.RiskOutput(,H13,1)+((F14+0.5*E14)-(0.5*K14))*D14</f>
        <v>#NAME?</v>
      </c>
      <c r="I14" s="46">
        <f>Assumptions!C34</f>
        <v>160</v>
      </c>
      <c r="J14" s="66" t="e">
        <f t="shared" ref="J14:J37" ca="1" si="0">(MAX(424.4*I45,0))</f>
        <v>#NAME?</v>
      </c>
      <c r="K14" s="64">
        <f>Q14</f>
        <v>3300</v>
      </c>
      <c r="L14" s="64">
        <f>_xll.RiskOutput(,L13,1)+IF(F14&gt;0,K14/((1+$R$9)^(B14-2017)),0)</f>
        <v>3300</v>
      </c>
      <c r="M14" s="64" t="e">
        <f t="shared" ref="M14:M37" ca="1" si="1">H14-K14-I14-J14+E14</f>
        <v>#NAME?</v>
      </c>
      <c r="N14" s="66" t="e">
        <f t="shared" ref="N14:N37" ca="1" si="2">F14+M14</f>
        <v>#NAME?</v>
      </c>
      <c r="O14" s="65" t="e">
        <f ca="1">_xll.RiskOutput(,$O$13,1)+N14/((1+$R$9)^($B14-2016))</f>
        <v>#NAME?</v>
      </c>
      <c r="P14" s="15"/>
      <c r="Q14" s="65">
        <f>R8</f>
        <v>3300</v>
      </c>
      <c r="S14">
        <v>2017</v>
      </c>
      <c r="T14" s="276">
        <f>W14*V14*0.000001+U14</f>
        <v>651.65087999999992</v>
      </c>
      <c r="U14" s="46">
        <f>Assumptions!D100</f>
        <v>8</v>
      </c>
      <c r="V14" s="46">
        <f>Assumptions!C100</f>
        <v>643650.88</v>
      </c>
      <c r="W14" s="276">
        <v>1000</v>
      </c>
      <c r="X14" s="47"/>
      <c r="Y14" s="276" t="e">
        <f ca="1">_xll.RiskPercentile(W14,0.5,_xll.RiskStatic(NA()))</f>
        <v>#NAME?</v>
      </c>
    </row>
    <row r="15" spans="2:25" ht="16.5" thickTop="1" thickBot="1" x14ac:dyDescent="0.3">
      <c r="B15" s="25">
        <f>B14+1</f>
        <v>2018</v>
      </c>
      <c r="C15" s="25" t="s">
        <v>1</v>
      </c>
      <c r="D15" s="26" t="e">
        <f ca="1">IF(F15&lt;0,0,IF(F15&lt;0,0,_xll.RiskNormal($H$8,$E$9,_xll.RiskCorrmat($U$8:$V$9,2,C15),_xll.RiskStatic($E$8))))</f>
        <v>#NAME?</v>
      </c>
      <c r="E15" s="63" t="e">
        <f ca="1">_xll.RiskOutput(,E14,1)+'Petroleum Model'!C166</f>
        <v>#NAME?</v>
      </c>
      <c r="F15" s="64" t="e">
        <f ca="1">_xll.RiskOutput(,"Asset Base Nominal",2)+M14+F14</f>
        <v>#NAME?</v>
      </c>
      <c r="G15" s="65" t="e">
        <f ca="1">_xll.RiskOutput(,G14,1)+F15/(1+$R$9)^($B15-2017)</f>
        <v>#NAME?</v>
      </c>
      <c r="H15" s="64" t="e">
        <f ca="1">_xll.RiskOutput(,H13,2)+((F15+0.5*E15)-(0.5*K15))*D15</f>
        <v>#NAME?</v>
      </c>
      <c r="I15" s="66" t="e">
        <f ca="1">I14*F15/F14</f>
        <v>#NAME?</v>
      </c>
      <c r="J15" s="66" t="e">
        <f t="shared" ca="1" si="0"/>
        <v>#NAME?</v>
      </c>
      <c r="K15" s="64">
        <f t="shared" ref="K15:K37" si="3">Q15</f>
        <v>3300</v>
      </c>
      <c r="L15" s="64" t="e">
        <f ca="1">_xll.RiskOutput(,L14,1)+IF(F15&gt;0,K15/((1+$R$9)^(B15-2017)),0)</f>
        <v>#NAME?</v>
      </c>
      <c r="M15" s="64" t="e">
        <f t="shared" ca="1" si="1"/>
        <v>#NAME?</v>
      </c>
      <c r="N15" s="66" t="e">
        <f t="shared" ca="1" si="2"/>
        <v>#NAME?</v>
      </c>
      <c r="O15" s="65" t="e">
        <f ca="1">_xll.RiskOutput(,$O$13,1)+N15/((1+$R$9)^($B15-2016))</f>
        <v>#NAME?</v>
      </c>
      <c r="P15" s="15"/>
      <c r="Q15" s="65">
        <f>IF(COUNT($Q$14:Q14)&gt;$R$7,Q14*(1+$R$9),Q14)</f>
        <v>3300</v>
      </c>
      <c r="S15">
        <f>S14+1</f>
        <v>2018</v>
      </c>
      <c r="T15" s="276" t="e">
        <f ca="1">'Petroleum Model'!E165</f>
        <v>#NAME?</v>
      </c>
      <c r="U15" s="46">
        <f>Assumptions!D101</f>
        <v>8.18</v>
      </c>
      <c r="V15" s="46">
        <f>Assumptions!C101</f>
        <v>650293.88</v>
      </c>
      <c r="W15" s="276" t="e">
        <f ca="1">_xll.RiskOutput(,W14,1)+(T15-U15)*1000000/V15</f>
        <v>#NAME?</v>
      </c>
      <c r="X15" s="47"/>
      <c r="Y15" s="276" t="e">
        <f ca="1">_xll.RiskPercentile(W15,0.5,_xll.RiskStatic(NA()))</f>
        <v>#NAME?</v>
      </c>
    </row>
    <row r="16" spans="2:25" ht="16.5" thickTop="1" thickBot="1" x14ac:dyDescent="0.3">
      <c r="B16" s="25">
        <f t="shared" ref="B16:B37" si="4">B15+1</f>
        <v>2019</v>
      </c>
      <c r="C16" s="25" t="s">
        <v>2</v>
      </c>
      <c r="D16" s="26" t="e">
        <f ca="1">IF(F16&lt;0,0,IF(F16&lt;0,0,_xll.RiskNormal($H$8,$E$9,_xll.RiskCorrmat($U$8:$V$9,2,C16),_xll.RiskStatic($E$8))))</f>
        <v>#NAME?</v>
      </c>
      <c r="E16" s="63" t="e">
        <f ca="1">_xll.RiskOutput(,E15,1)+'Petroleum Model'!C167</f>
        <v>#NAME?</v>
      </c>
      <c r="F16" s="64" t="e">
        <f ca="1">_xll.RiskOutput(,"Asset Base Nominal",2)+M15+F15</f>
        <v>#NAME?</v>
      </c>
      <c r="G16" s="65" t="e">
        <f ca="1">_xll.RiskOutput(,G15,1)+F16/(1+$R$9)^($B16-2017)</f>
        <v>#NAME?</v>
      </c>
      <c r="H16" s="64" t="e">
        <f ca="1">_xll.RiskOutput(,H13,3)+((F16+0.5*E16)-(0.5*K16))*D16</f>
        <v>#NAME?</v>
      </c>
      <c r="I16" s="66" t="e">
        <f t="shared" ref="I16:I37" ca="1" si="5">I15*F16/F15</f>
        <v>#NAME?</v>
      </c>
      <c r="J16" s="66" t="e">
        <f t="shared" ca="1" si="0"/>
        <v>#NAME?</v>
      </c>
      <c r="K16" s="64">
        <f t="shared" si="3"/>
        <v>3300</v>
      </c>
      <c r="L16" s="64" t="e">
        <f ca="1">_xll.RiskOutput(,L15,1)+IF(F16&gt;0,K16/((1+$R$9)^(B16-2017)),0)</f>
        <v>#NAME?</v>
      </c>
      <c r="M16" s="64" t="e">
        <f t="shared" ca="1" si="1"/>
        <v>#NAME?</v>
      </c>
      <c r="N16" s="66" t="e">
        <f t="shared" ca="1" si="2"/>
        <v>#NAME?</v>
      </c>
      <c r="O16" s="65" t="e">
        <f ca="1">_xll.RiskOutput(,$O$13,1)+N16/((1+$R$9)^($B16-2016))</f>
        <v>#NAME?</v>
      </c>
      <c r="P16" s="15"/>
      <c r="Q16" s="65">
        <f>IF(COUNT($Q$14:Q15)&gt;$R$7,Q15*(1+$R$9),Q15)</f>
        <v>3300</v>
      </c>
      <c r="S16">
        <f t="shared" ref="S16:S37" si="6">S15+1</f>
        <v>2019</v>
      </c>
      <c r="T16" s="276" t="e">
        <f ca="1">'Petroleum Model'!E166</f>
        <v>#NAME?</v>
      </c>
      <c r="U16" s="46">
        <f>Assumptions!D102</f>
        <v>8.3640499999999989</v>
      </c>
      <c r="V16" s="46">
        <f>Assumptions!C102</f>
        <v>656869.5</v>
      </c>
      <c r="W16" s="276" t="e">
        <f ca="1">_xll.RiskOutput(,W15,1)+(T16-U16)*1000000/V16</f>
        <v>#NAME?</v>
      </c>
      <c r="X16" s="47"/>
      <c r="Y16" s="276" t="e">
        <f ca="1">_xll.RiskPercentile(W16,0.5,_xll.RiskStatic(NA()))</f>
        <v>#NAME?</v>
      </c>
    </row>
    <row r="17" spans="2:25" ht="16.5" thickTop="1" thickBot="1" x14ac:dyDescent="0.3">
      <c r="B17" s="25">
        <f t="shared" si="4"/>
        <v>2020</v>
      </c>
      <c r="C17" s="25" t="s">
        <v>3</v>
      </c>
      <c r="D17" s="26" t="e">
        <f ca="1">IF(F17&lt;0,0,IF(F17&lt;0,0,_xll.RiskNormal($H$8,$E$9,_xll.RiskCorrmat($U$8:$V$9,2,C17),_xll.RiskStatic($E$8))))</f>
        <v>#NAME?</v>
      </c>
      <c r="E17" s="63" t="e">
        <f ca="1">_xll.RiskOutput(,E16,1)+'Petroleum Model'!C168</f>
        <v>#NAME?</v>
      </c>
      <c r="F17" s="64" t="e">
        <f ca="1">_xll.RiskOutput(,"Asset Base Nominal",2)+M16+F16</f>
        <v>#NAME?</v>
      </c>
      <c r="G17" s="65" t="e">
        <f ca="1">_xll.RiskOutput(,G16,1)+F17/(1+$R$9)^($B17-2017)</f>
        <v>#NAME?</v>
      </c>
      <c r="H17" s="64" t="e">
        <f ca="1">_xll.RiskOutput(,H13,4)+((F17+0.5*E17)-(0.5*K17))*D17</f>
        <v>#NAME?</v>
      </c>
      <c r="I17" s="66" t="e">
        <f t="shared" ca="1" si="5"/>
        <v>#NAME?</v>
      </c>
      <c r="J17" s="66" t="e">
        <f t="shared" ca="1" si="0"/>
        <v>#NAME?</v>
      </c>
      <c r="K17" s="64">
        <f t="shared" si="3"/>
        <v>3374.25</v>
      </c>
      <c r="L17" s="64" t="e">
        <f ca="1">_xll.RiskOutput(,L16,1)+IF(F17&gt;0,K17/((1+$R$9)^(B17-2017)),0)</f>
        <v>#NAME?</v>
      </c>
      <c r="M17" s="64" t="e">
        <f t="shared" ca="1" si="1"/>
        <v>#NAME?</v>
      </c>
      <c r="N17" s="66" t="e">
        <f t="shared" ca="1" si="2"/>
        <v>#NAME?</v>
      </c>
      <c r="O17" s="65" t="e">
        <f ca="1">_xll.RiskOutput(,$O$13,1)+N17/((1+$R$9)^($B17-2016))</f>
        <v>#NAME?</v>
      </c>
      <c r="P17" s="15"/>
      <c r="Q17" s="65">
        <f>IF(COUNT($Q$14:Q16)&gt;$R$7,Q16*(1+$R$9),Q16)</f>
        <v>3374.25</v>
      </c>
      <c r="S17">
        <f t="shared" si="6"/>
        <v>2020</v>
      </c>
      <c r="T17" s="276" t="e">
        <f ca="1">'Petroleum Model'!E167</f>
        <v>#NAME?</v>
      </c>
      <c r="U17" s="46">
        <f>Assumptions!D103</f>
        <v>8.5522411250000001</v>
      </c>
      <c r="V17" s="46">
        <f>Assumptions!C103</f>
        <v>663380.38</v>
      </c>
      <c r="W17" s="276" t="e">
        <f ca="1">_xll.RiskOutput(,W16,1)+(T17-U17)*1000000/V17</f>
        <v>#NAME?</v>
      </c>
      <c r="X17" s="47"/>
      <c r="Y17" s="276" t="e">
        <f ca="1">_xll.RiskPercentile(W17,0.5,_xll.RiskStatic(NA()))</f>
        <v>#NAME?</v>
      </c>
    </row>
    <row r="18" spans="2:25" ht="16.5" thickTop="1" thickBot="1" x14ac:dyDescent="0.3">
      <c r="B18" s="25">
        <f t="shared" si="4"/>
        <v>2021</v>
      </c>
      <c r="C18" s="25" t="s">
        <v>4</v>
      </c>
      <c r="D18" s="26" t="e">
        <f ca="1">IF(F18&lt;0,0,IF(F18&lt;0,0,_xll.RiskNormal($H$8,$E$9,_xll.RiskCorrmat($U$8:$V$9,2,C18),_xll.RiskStatic($E$8))))</f>
        <v>#NAME?</v>
      </c>
      <c r="E18" s="63" t="e">
        <f ca="1">_xll.RiskOutput(,E17,1)+'Petroleum Model'!C169</f>
        <v>#NAME?</v>
      </c>
      <c r="F18" s="64" t="e">
        <f ca="1">_xll.RiskOutput(,"Asset Base Nominal",2)+M17+F17</f>
        <v>#NAME?</v>
      </c>
      <c r="G18" s="65" t="e">
        <f ca="1">_xll.RiskOutput(,G17,1)+F18/(1+$R$9)^($B18-2017)</f>
        <v>#NAME?</v>
      </c>
      <c r="H18" s="64" t="e">
        <f ca="1">_xll.RiskOutput(,H13,5)+((F18+0.5*E18)-(0.5*K18))*D18</f>
        <v>#NAME?</v>
      </c>
      <c r="I18" s="66" t="e">
        <f t="shared" ca="1" si="5"/>
        <v>#NAME?</v>
      </c>
      <c r="J18" s="66" t="e">
        <f t="shared" ca="1" si="0"/>
        <v>#NAME?</v>
      </c>
      <c r="K18" s="64">
        <f t="shared" si="3"/>
        <v>3450.1706249999997</v>
      </c>
      <c r="L18" s="64" t="e">
        <f ca="1">_xll.RiskOutput(,L17,1)+IF(F18&gt;0,K18/((1+$R$9)^(B18-2017)),0)</f>
        <v>#NAME?</v>
      </c>
      <c r="M18" s="64" t="e">
        <f t="shared" ca="1" si="1"/>
        <v>#NAME?</v>
      </c>
      <c r="N18" s="66" t="e">
        <f t="shared" ca="1" si="2"/>
        <v>#NAME?</v>
      </c>
      <c r="O18" s="65" t="e">
        <f ca="1">_xll.RiskOutput(,$O$13,1)+N18/((1+$R$9)^($B18-2016))</f>
        <v>#NAME?</v>
      </c>
      <c r="P18" s="15"/>
      <c r="Q18" s="65">
        <f>IF(COUNT($Q$14:Q17)&gt;$R$7,Q17*(1+$R$9),Q17)</f>
        <v>3450.1706249999997</v>
      </c>
      <c r="S18">
        <f t="shared" si="6"/>
        <v>2021</v>
      </c>
      <c r="T18" s="276" t="e">
        <f ca="1">'Petroleum Model'!E168</f>
        <v>#NAME?</v>
      </c>
      <c r="U18" s="46">
        <f>Assumptions!D104</f>
        <v>8.7446665503125001</v>
      </c>
      <c r="V18" s="46">
        <f>Assumptions!C104</f>
        <v>669797.63</v>
      </c>
      <c r="W18" s="276" t="e">
        <f ca="1">_xll.RiskOutput(,W17,1)+(T18-U18)*1000000/V18</f>
        <v>#NAME?</v>
      </c>
      <c r="X18" s="47"/>
      <c r="Y18" s="276" t="e">
        <f ca="1">_xll.RiskPercentile(W18,0.5,_xll.RiskStatic(NA()))</f>
        <v>#NAME?</v>
      </c>
    </row>
    <row r="19" spans="2:25" ht="16.5" thickTop="1" thickBot="1" x14ac:dyDescent="0.3">
      <c r="B19" s="25">
        <f t="shared" si="4"/>
        <v>2022</v>
      </c>
      <c r="C19" s="25" t="s">
        <v>5</v>
      </c>
      <c r="D19" s="26" t="e">
        <f ca="1">IF(F19&lt;0,0,IF(F19&lt;0,0,_xll.RiskNormal($H$8,$E$9,_xll.RiskCorrmat($U$8:$V$9,2,C19),_xll.RiskStatic($E$8))))</f>
        <v>#NAME?</v>
      </c>
      <c r="E19" s="63" t="e">
        <f ca="1">_xll.RiskOutput(,E18,1)+'Petroleum Model'!C170</f>
        <v>#NAME?</v>
      </c>
      <c r="F19" s="64" t="e">
        <f ca="1">_xll.RiskOutput(,"Asset Base Nominal",2)+M18+F18</f>
        <v>#NAME?</v>
      </c>
      <c r="G19" s="65" t="e">
        <f ca="1">_xll.RiskOutput(,G18,1)+F19/(1+$R$9)^($B19-2017)</f>
        <v>#NAME?</v>
      </c>
      <c r="H19" s="64" t="e">
        <f ca="1">_xll.RiskOutput(,H13,6)+((F19+0.5*E19)-(0.5*K19))*D19</f>
        <v>#NAME?</v>
      </c>
      <c r="I19" s="66" t="e">
        <f t="shared" ca="1" si="5"/>
        <v>#NAME?</v>
      </c>
      <c r="J19" s="66" t="e">
        <f t="shared" ca="1" si="0"/>
        <v>#NAME?</v>
      </c>
      <c r="K19" s="64">
        <f t="shared" si="3"/>
        <v>3527.7994640624997</v>
      </c>
      <c r="L19" s="64" t="e">
        <f ca="1">_xll.RiskOutput(,L18,1)+IF(F19&gt;0,K19/((1+$R$9)^(B19-2017)),0)</f>
        <v>#NAME?</v>
      </c>
      <c r="M19" s="64" t="e">
        <f t="shared" ca="1" si="1"/>
        <v>#NAME?</v>
      </c>
      <c r="N19" s="66" t="e">
        <f t="shared" ca="1" si="2"/>
        <v>#NAME?</v>
      </c>
      <c r="O19" s="65" t="e">
        <f ca="1">_xll.RiskOutput(,$O$13,1)+N19/((1+$R$9)^($B19-2016))</f>
        <v>#NAME?</v>
      </c>
      <c r="P19" s="15"/>
      <c r="Q19" s="65">
        <f>IF(COUNT($Q$14:Q18)&gt;$R$7,Q18*(1+$R$9),Q18)</f>
        <v>3527.7994640624997</v>
      </c>
      <c r="S19">
        <f t="shared" si="6"/>
        <v>2022</v>
      </c>
      <c r="T19" s="276" t="e">
        <f ca="1">'Petroleum Model'!E169</f>
        <v>#NAME?</v>
      </c>
      <c r="U19" s="46">
        <f>Assumptions!D105</f>
        <v>8.9414215476945316</v>
      </c>
      <c r="V19" s="46">
        <f>Assumptions!C105</f>
        <v>676131.75</v>
      </c>
      <c r="W19" s="276" t="e">
        <f ca="1">_xll.RiskOutput(,W18,1)+(T19-U19)*1000000/V19</f>
        <v>#NAME?</v>
      </c>
      <c r="X19" s="47"/>
      <c r="Y19" s="276" t="e">
        <f ca="1">_xll.RiskPercentile(W19,0.5,_xll.RiskStatic(NA()))</f>
        <v>#NAME?</v>
      </c>
    </row>
    <row r="20" spans="2:25" ht="16.5" thickTop="1" thickBot="1" x14ac:dyDescent="0.3">
      <c r="B20" s="25">
        <f t="shared" si="4"/>
        <v>2023</v>
      </c>
      <c r="C20" s="25" t="s">
        <v>6</v>
      </c>
      <c r="D20" s="26" t="e">
        <f ca="1">IF(F20&lt;0,0,IF(F20&lt;0,0,_xll.RiskNormal($H$8,$E$9,_xll.RiskCorrmat($U$8:$V$9,2,C20),_xll.RiskStatic($E$8))))</f>
        <v>#NAME?</v>
      </c>
      <c r="E20" s="63" t="e">
        <f ca="1">_xll.RiskOutput(,E19,1)+'Petroleum Model'!C171</f>
        <v>#NAME?</v>
      </c>
      <c r="F20" s="64" t="e">
        <f ca="1">_xll.RiskOutput(,"Asset Base Nominal",2)+M19+F19</f>
        <v>#NAME?</v>
      </c>
      <c r="G20" s="65" t="e">
        <f ca="1">_xll.RiskOutput(,G19,1)+F20/(1+$R$9)^($B20-2017)</f>
        <v>#NAME?</v>
      </c>
      <c r="H20" s="64" t="e">
        <f ca="1">_xll.RiskOutput(,H13,7)+((F20+0.5*E20)-(0.5*K20))*D20</f>
        <v>#NAME?</v>
      </c>
      <c r="I20" s="66" t="e">
        <f t="shared" ca="1" si="5"/>
        <v>#NAME?</v>
      </c>
      <c r="J20" s="66" t="e">
        <f t="shared" ca="1" si="0"/>
        <v>#NAME?</v>
      </c>
      <c r="K20" s="64">
        <f t="shared" si="3"/>
        <v>3607.1749520039057</v>
      </c>
      <c r="L20" s="64" t="e">
        <f ca="1">_xll.RiskOutput(,L19,1)+IF(F20&gt;0,K20/((1+$R$9)^(B20-2017)),0)</f>
        <v>#NAME?</v>
      </c>
      <c r="M20" s="64" t="e">
        <f t="shared" ca="1" si="1"/>
        <v>#NAME?</v>
      </c>
      <c r="N20" s="66" t="e">
        <f t="shared" ca="1" si="2"/>
        <v>#NAME?</v>
      </c>
      <c r="O20" s="65" t="e">
        <f ca="1">_xll.RiskOutput(,$O$13,1)+N20/((1+$R$9)^($B20-2016))</f>
        <v>#NAME?</v>
      </c>
      <c r="P20" s="15"/>
      <c r="Q20" s="65">
        <f>IF(COUNT($Q$14:Q19)&gt;$R$7,Q19*(1+$R$9),Q19)</f>
        <v>3607.1749520039057</v>
      </c>
      <c r="S20">
        <f t="shared" si="6"/>
        <v>2023</v>
      </c>
      <c r="T20" s="276" t="e">
        <f ca="1">'Petroleum Model'!E170</f>
        <v>#NAME?</v>
      </c>
      <c r="U20" s="46">
        <f>Assumptions!D106</f>
        <v>9.1426035325176578</v>
      </c>
      <c r="V20" s="46">
        <f>Assumptions!C106</f>
        <v>682335.5</v>
      </c>
      <c r="W20" s="276" t="e">
        <f ca="1">_xll.RiskOutput(,W19,1)+(T20-U20)*1000000/V20</f>
        <v>#NAME?</v>
      </c>
      <c r="X20" s="47"/>
      <c r="Y20" s="276" t="e">
        <f ca="1">_xll.RiskPercentile(W20,0.5,_xll.RiskStatic(NA()))</f>
        <v>#NAME?</v>
      </c>
    </row>
    <row r="21" spans="2:25" ht="16.5" thickTop="1" thickBot="1" x14ac:dyDescent="0.3">
      <c r="B21" s="25">
        <f t="shared" si="4"/>
        <v>2024</v>
      </c>
      <c r="C21" s="25" t="s">
        <v>7</v>
      </c>
      <c r="D21" s="26" t="e">
        <f ca="1">IF(F21&lt;0,0,IF(F21&lt;0,0,_xll.RiskNormal($H$8,$E$9,_xll.RiskCorrmat($U$8:$V$9,2,C21),_xll.RiskStatic($E$8))))</f>
        <v>#NAME?</v>
      </c>
      <c r="E21" s="63" t="e">
        <f ca="1">_xll.RiskOutput(,E20,1)+'Petroleum Model'!C172</f>
        <v>#NAME?</v>
      </c>
      <c r="F21" s="64" t="e">
        <f ca="1">_xll.RiskOutput(,"Asset Base Nominal",2)+M20+F20</f>
        <v>#NAME?</v>
      </c>
      <c r="G21" s="65" t="e">
        <f ca="1">_xll.RiskOutput(,G20,1)+F21/(1+$R$9)^($B21-2017)</f>
        <v>#NAME?</v>
      </c>
      <c r="H21" s="64" t="e">
        <f ca="1">_xll.RiskOutput(,H13,8)+((F21+0.5*E21)-(0.5*K21))*D21</f>
        <v>#NAME?</v>
      </c>
      <c r="I21" s="66" t="e">
        <f t="shared" ca="1" si="5"/>
        <v>#NAME?</v>
      </c>
      <c r="J21" s="66" t="e">
        <f t="shared" ca="1" si="0"/>
        <v>#NAME?</v>
      </c>
      <c r="K21" s="64">
        <f t="shared" si="3"/>
        <v>3688.3363884239934</v>
      </c>
      <c r="L21" s="64" t="e">
        <f ca="1">_xll.RiskOutput(,L20,1)+IF(F21&gt;0,K21/((1+$R$9)^(B21-2017)),0)</f>
        <v>#NAME?</v>
      </c>
      <c r="M21" s="64" t="e">
        <f t="shared" ca="1" si="1"/>
        <v>#NAME?</v>
      </c>
      <c r="N21" s="66" t="e">
        <f t="shared" ca="1" si="2"/>
        <v>#NAME?</v>
      </c>
      <c r="O21" s="65" t="e">
        <f ca="1">_xll.RiskOutput(,$O$13,1)+N21/((1+$R$9)^($B21-2016))</f>
        <v>#NAME?</v>
      </c>
      <c r="P21" s="15"/>
      <c r="Q21" s="65">
        <f>IF(COUNT($Q$14:Q20)&gt;$R$7,Q20*(1+$R$9),Q20)</f>
        <v>3688.3363884239934</v>
      </c>
      <c r="S21">
        <f t="shared" si="6"/>
        <v>2024</v>
      </c>
      <c r="T21" s="276" t="e">
        <f ca="1">'Petroleum Model'!E171</f>
        <v>#NAME?</v>
      </c>
      <c r="U21" s="46">
        <f>Assumptions!D107</f>
        <v>9.348312111999304</v>
      </c>
      <c r="V21" s="46">
        <f>Assumptions!C107</f>
        <v>688423.75</v>
      </c>
      <c r="W21" s="276" t="e">
        <f ca="1">_xll.RiskOutput(,W20,1)+(T21-U21)*1000000/V21</f>
        <v>#NAME?</v>
      </c>
      <c r="X21" s="47"/>
      <c r="Y21" s="276" t="e">
        <f ca="1">_xll.RiskPercentile(W21,0.5,_xll.RiskStatic(NA()))</f>
        <v>#NAME?</v>
      </c>
    </row>
    <row r="22" spans="2:25" ht="16.5" thickTop="1" thickBot="1" x14ac:dyDescent="0.3">
      <c r="B22" s="25">
        <f t="shared" si="4"/>
        <v>2025</v>
      </c>
      <c r="C22" s="25" t="s">
        <v>8</v>
      </c>
      <c r="D22" s="26" t="e">
        <f ca="1">IF(F22&lt;0,0,IF(F22&lt;0,0,_xll.RiskNormal($H$8,$E$9,_xll.RiskCorrmat($U$8:$V$9,2,C22),_xll.RiskStatic($E$8))))</f>
        <v>#NAME?</v>
      </c>
      <c r="E22" s="63" t="e">
        <f ca="1">_xll.RiskOutput(,E21,1)+'Petroleum Model'!C173</f>
        <v>#NAME?</v>
      </c>
      <c r="F22" s="64" t="e">
        <f ca="1">_xll.RiskOutput(,"Asset Base Nominal",2)+M21+F21</f>
        <v>#NAME?</v>
      </c>
      <c r="G22" s="65" t="e">
        <f ca="1">_xll.RiskOutput(,G21,1)+F22/(1+$R$9)^($B22-2017)</f>
        <v>#NAME?</v>
      </c>
      <c r="H22" s="64" t="e">
        <f ca="1">_xll.RiskOutput(,H13,9)+((F22+0.5*E22)-(0.5*K22))*D22</f>
        <v>#NAME?</v>
      </c>
      <c r="I22" s="66" t="e">
        <f t="shared" ca="1" si="5"/>
        <v>#NAME?</v>
      </c>
      <c r="J22" s="66" t="e">
        <f t="shared" ca="1" si="0"/>
        <v>#NAME?</v>
      </c>
      <c r="K22" s="64">
        <f t="shared" si="3"/>
        <v>3771.3239571635331</v>
      </c>
      <c r="L22" s="64" t="e">
        <f ca="1">_xll.RiskOutput(,L21,1)+IF(F22&gt;0,K22/((1+$R$9)^(B22-2017)),0)</f>
        <v>#NAME?</v>
      </c>
      <c r="M22" s="64" t="e">
        <f t="shared" ca="1" si="1"/>
        <v>#NAME?</v>
      </c>
      <c r="N22" s="66" t="e">
        <f t="shared" ca="1" si="2"/>
        <v>#NAME?</v>
      </c>
      <c r="O22" s="65" t="e">
        <f ca="1">_xll.RiskOutput(,$O$13,1)+N22/((1+$R$9)^($B22-2016))</f>
        <v>#NAME?</v>
      </c>
      <c r="P22" s="15"/>
      <c r="Q22" s="65">
        <f>IF(COUNT($Q$14:Q21)&gt;$R$7,Q21*(1+$R$9),Q21)</f>
        <v>3771.3239571635331</v>
      </c>
      <c r="S22">
        <f t="shared" si="6"/>
        <v>2025</v>
      </c>
      <c r="T22" s="276" t="e">
        <f ca="1">'Petroleum Model'!E172</f>
        <v>#NAME?</v>
      </c>
      <c r="U22" s="46">
        <f>Assumptions!D108</f>
        <v>9.5586491345192872</v>
      </c>
      <c r="V22" s="46">
        <f>Assumptions!C108</f>
        <v>694390.38</v>
      </c>
      <c r="W22" s="276" t="e">
        <f ca="1">_xll.RiskOutput(,W21,1)+(T22-U22)*1000000/V22</f>
        <v>#NAME?</v>
      </c>
      <c r="X22" s="47"/>
      <c r="Y22" s="276" t="e">
        <f ca="1">_xll.RiskPercentile(W22,0.5,_xll.RiskStatic(NA()))</f>
        <v>#NAME?</v>
      </c>
    </row>
    <row r="23" spans="2:25" ht="16.5" thickTop="1" thickBot="1" x14ac:dyDescent="0.3">
      <c r="B23" s="25">
        <f t="shared" si="4"/>
        <v>2026</v>
      </c>
      <c r="C23" s="25" t="s">
        <v>9</v>
      </c>
      <c r="D23" s="26" t="e">
        <f ca="1">IF(F23&lt;0,0,IF(F23&lt;0,0,_xll.RiskNormal($H$8,$E$9,_xll.RiskCorrmat($U$8:$V$9,2,C23),_xll.RiskStatic($E$8))))</f>
        <v>#NAME?</v>
      </c>
      <c r="E23" s="63" t="e">
        <f ca="1">_xll.RiskOutput(,E22,1)+'Petroleum Model'!C174</f>
        <v>#NAME?</v>
      </c>
      <c r="F23" s="64" t="e">
        <f ca="1">_xll.RiskOutput(,"Asset Base Nominal",2)+M22+F22</f>
        <v>#NAME?</v>
      </c>
      <c r="G23" s="65" t="e">
        <f ca="1">_xll.RiskOutput(,G22,1)+F23/(1+$R$9)^($B23-2017)</f>
        <v>#NAME?</v>
      </c>
      <c r="H23" s="64" t="e">
        <f ca="1">_xll.RiskOutput(,H13,10)+((F23+0.5*E23)-(0.5*K23))*D23</f>
        <v>#NAME?</v>
      </c>
      <c r="I23" s="66" t="e">
        <f t="shared" ca="1" si="5"/>
        <v>#NAME?</v>
      </c>
      <c r="J23" s="66" t="e">
        <f t="shared" ca="1" si="0"/>
        <v>#NAME?</v>
      </c>
      <c r="K23" s="64">
        <f t="shared" si="3"/>
        <v>3856.1787461997124</v>
      </c>
      <c r="L23" s="64" t="e">
        <f ca="1">_xll.RiskOutput(,L22,1)+IF(F23&gt;0,K23/((1+$R$9)^(B23-2017)),0)</f>
        <v>#NAME?</v>
      </c>
      <c r="M23" s="64" t="e">
        <f t="shared" ca="1" si="1"/>
        <v>#NAME?</v>
      </c>
      <c r="N23" s="66" t="e">
        <f t="shared" ca="1" si="2"/>
        <v>#NAME?</v>
      </c>
      <c r="O23" s="65" t="e">
        <f ca="1">_xll.RiskOutput(,$O$13,1)+N23/((1+$R$9)^($B23-2016))</f>
        <v>#NAME?</v>
      </c>
      <c r="P23" s="15"/>
      <c r="Q23" s="65">
        <f>IF(COUNT($Q$14:Q22)&gt;$R$7,Q22*(1+$R$9),Q22)</f>
        <v>3856.1787461997124</v>
      </c>
      <c r="S23">
        <f t="shared" si="6"/>
        <v>2026</v>
      </c>
      <c r="T23" s="276" t="e">
        <f ca="1">'Petroleum Model'!E173</f>
        <v>#NAME?</v>
      </c>
      <c r="U23" s="46">
        <f>Assumptions!D109</f>
        <v>9.7737187400459717</v>
      </c>
      <c r="V23" s="46">
        <f>Assumptions!C109</f>
        <v>700235.38</v>
      </c>
      <c r="W23" s="276" t="e">
        <f ca="1">_xll.RiskOutput(,W22,1)+(T23-U23)*1000000/V23</f>
        <v>#NAME?</v>
      </c>
      <c r="X23" s="47"/>
      <c r="Y23" s="276" t="e">
        <f ca="1">_xll.RiskPercentile(W23,0.5,_xll.RiskStatic(NA()))</f>
        <v>#NAME?</v>
      </c>
    </row>
    <row r="24" spans="2:25" ht="16.5" thickTop="1" thickBot="1" x14ac:dyDescent="0.3">
      <c r="B24" s="25">
        <f t="shared" si="4"/>
        <v>2027</v>
      </c>
      <c r="C24" s="25" t="s">
        <v>10</v>
      </c>
      <c r="D24" s="26" t="e">
        <f ca="1">IF(F24&lt;0,0,IF(F24&lt;0,0,_xll.RiskNormal($H$8,$E$9,_xll.RiskCorrmat($U$8:$V$9,2,C24),_xll.RiskStatic($E$8))))</f>
        <v>#NAME?</v>
      </c>
      <c r="E24" s="63" t="e">
        <f ca="1">_xll.RiskOutput(,E23,1)+'Petroleum Model'!C175</f>
        <v>#NAME?</v>
      </c>
      <c r="F24" s="64" t="e">
        <f ca="1">_xll.RiskOutput(,"Asset Base Nominal",2)+M23+F23</f>
        <v>#NAME?</v>
      </c>
      <c r="G24" s="65" t="e">
        <f ca="1">_xll.RiskOutput(,G23,1)+F24/(1+$R$9)^($B24-2017)</f>
        <v>#NAME?</v>
      </c>
      <c r="H24" s="64" t="e">
        <f ca="1">_xll.RiskOutput(,H13,11)+((F24+0.5*E24)-(0.5*K24))*D24</f>
        <v>#NAME?</v>
      </c>
      <c r="I24" s="66" t="e">
        <f t="shared" ca="1" si="5"/>
        <v>#NAME?</v>
      </c>
      <c r="J24" s="66" t="e">
        <f t="shared" ca="1" si="0"/>
        <v>#NAME?</v>
      </c>
      <c r="K24" s="64">
        <f t="shared" si="3"/>
        <v>3942.9427679892055</v>
      </c>
      <c r="L24" s="64" t="e">
        <f ca="1">_xll.RiskOutput(,L23,1)+IF(F24&gt;0,K24/((1+$R$9)^(B24-2017)),0)</f>
        <v>#NAME?</v>
      </c>
      <c r="M24" s="64" t="e">
        <f t="shared" ca="1" si="1"/>
        <v>#NAME?</v>
      </c>
      <c r="N24" s="66" t="e">
        <f t="shared" ca="1" si="2"/>
        <v>#NAME?</v>
      </c>
      <c r="O24" s="65" t="e">
        <f ca="1">_xll.RiskOutput(,$O$13,1)+N24/((1+$R$9)^($B24-2016))</f>
        <v>#NAME?</v>
      </c>
      <c r="P24" s="15"/>
      <c r="Q24" s="65">
        <f>IF(COUNT($Q$14:Q23)&gt;$R$7,Q23*(1+$R$9),Q23)</f>
        <v>3942.9427679892055</v>
      </c>
      <c r="S24">
        <f t="shared" si="6"/>
        <v>2027</v>
      </c>
      <c r="T24" s="276" t="e">
        <f ca="1">'Petroleum Model'!E174</f>
        <v>#NAME?</v>
      </c>
      <c r="U24" s="46">
        <f>Assumptions!D110</f>
        <v>9.9936274116970054</v>
      </c>
      <c r="V24" s="46">
        <f>Assumptions!C110</f>
        <v>705955.25</v>
      </c>
      <c r="W24" s="276" t="e">
        <f ca="1">_xll.RiskOutput(,W23,1)+(T24-U24)*1000000/V24</f>
        <v>#NAME?</v>
      </c>
      <c r="X24" s="47"/>
      <c r="Y24" s="276" t="e">
        <f ca="1">_xll.RiskPercentile(W24,0.5,_xll.RiskStatic(NA()))</f>
        <v>#NAME?</v>
      </c>
    </row>
    <row r="25" spans="2:25" ht="16.5" thickTop="1" thickBot="1" x14ac:dyDescent="0.3">
      <c r="B25" s="25">
        <f t="shared" si="4"/>
        <v>2028</v>
      </c>
      <c r="C25" s="25" t="s">
        <v>11</v>
      </c>
      <c r="D25" s="26" t="e">
        <f ca="1">IF(F25&lt;0,0,IF(F25&lt;0,0,_xll.RiskNormal($H$8,$E$9,_xll.RiskCorrmat($U$8:$V$9,2,C25),_xll.RiskStatic($E$8))))</f>
        <v>#NAME?</v>
      </c>
      <c r="E25" s="63" t="e">
        <f ca="1">_xll.RiskOutput(,E24,1)+'Petroleum Model'!C176</f>
        <v>#NAME?</v>
      </c>
      <c r="F25" s="64" t="e">
        <f ca="1">_xll.RiskOutput(,"Asset Base Nominal",2)+M24+F24</f>
        <v>#NAME?</v>
      </c>
      <c r="G25" s="65" t="e">
        <f ca="1">_xll.RiskOutput(,G24,1)+F25/(1+$R$9)^($B25-2017)</f>
        <v>#NAME?</v>
      </c>
      <c r="H25" s="64" t="e">
        <f ca="1">_xll.RiskOutput(,H13,12)+((F25+0.5*E25)-(0.5*K25))*D25</f>
        <v>#NAME?</v>
      </c>
      <c r="I25" s="66" t="e">
        <f t="shared" ca="1" si="5"/>
        <v>#NAME?</v>
      </c>
      <c r="J25" s="66" t="e">
        <f t="shared" ca="1" si="0"/>
        <v>#NAME?</v>
      </c>
      <c r="K25" s="64">
        <f t="shared" si="3"/>
        <v>4031.6589802689628</v>
      </c>
      <c r="L25" s="64" t="e">
        <f ca="1">_xll.RiskOutput(,L24,1)+IF(F25&gt;0,K25/((1+$R$9)^(B25-2017)),0)</f>
        <v>#NAME?</v>
      </c>
      <c r="M25" s="64" t="e">
        <f t="shared" ca="1" si="1"/>
        <v>#NAME?</v>
      </c>
      <c r="N25" s="66" t="e">
        <f t="shared" ca="1" si="2"/>
        <v>#NAME?</v>
      </c>
      <c r="O25" s="65" t="e">
        <f ca="1">_xll.RiskOutput(,$O$13,1)+N25/((1+$R$9)^($B25-2016))</f>
        <v>#NAME?</v>
      </c>
      <c r="P25" s="15"/>
      <c r="Q25" s="65">
        <f>IF(COUNT($Q$14:Q24)&gt;$R$7,Q24*(1+$R$9),Q24)</f>
        <v>4031.6589802689628</v>
      </c>
      <c r="S25">
        <f t="shared" si="6"/>
        <v>2028</v>
      </c>
      <c r="T25" s="276" t="e">
        <f ca="1">'Petroleum Model'!E175</f>
        <v>#NAME?</v>
      </c>
      <c r="U25" s="46">
        <f>Assumptions!D111</f>
        <v>10.218484028460187</v>
      </c>
      <c r="V25" s="46">
        <f>Assumptions!C111</f>
        <v>711548.25</v>
      </c>
      <c r="W25" s="276" t="e">
        <f ca="1">_xll.RiskOutput(,W24,1)+(T25-U25)*1000000/V25</f>
        <v>#NAME?</v>
      </c>
      <c r="X25" s="47"/>
      <c r="Y25" s="276" t="e">
        <f ca="1">_xll.RiskPercentile(W25,0.5,_xll.RiskStatic(NA()))</f>
        <v>#NAME?</v>
      </c>
    </row>
    <row r="26" spans="2:25" ht="16.5" thickTop="1" thickBot="1" x14ac:dyDescent="0.3">
      <c r="B26" s="25">
        <f t="shared" si="4"/>
        <v>2029</v>
      </c>
      <c r="C26" s="25" t="s">
        <v>12</v>
      </c>
      <c r="D26" s="26" t="e">
        <f ca="1">IF(F26&lt;0,0,IF(F26&lt;0,0,_xll.RiskNormal($H$8,$E$9,_xll.RiskCorrmat($U$8:$V$9,2,C26),_xll.RiskStatic($E$8))))</f>
        <v>#NAME?</v>
      </c>
      <c r="E26" s="63" t="e">
        <f ca="1">_xll.RiskOutput(,E25,1)+'Petroleum Model'!C177</f>
        <v>#NAME?</v>
      </c>
      <c r="F26" s="64" t="e">
        <f ca="1">_xll.RiskOutput(,"Asset Base Nominal",2)+M25+F25</f>
        <v>#NAME?</v>
      </c>
      <c r="G26" s="65" t="e">
        <f ca="1">_xll.RiskOutput(,G25,1)+F26/(1+$R$9)^($B26-2017)</f>
        <v>#NAME?</v>
      </c>
      <c r="H26" s="64" t="e">
        <f ca="1">_xll.RiskOutput(,H13,13)+((F26+0.5*E26)-(0.5*K26))*D26</f>
        <v>#NAME?</v>
      </c>
      <c r="I26" s="66" t="e">
        <f t="shared" ca="1" si="5"/>
        <v>#NAME?</v>
      </c>
      <c r="J26" s="66" t="e">
        <f t="shared" ca="1" si="0"/>
        <v>#NAME?</v>
      </c>
      <c r="K26" s="64">
        <f t="shared" si="3"/>
        <v>4122.3713073250146</v>
      </c>
      <c r="L26" s="64" t="e">
        <f ca="1">_xll.RiskOutput(,L25,1)+IF(F26&gt;0,K26/((1+$R$9)^(B26-2017)),0)</f>
        <v>#NAME?</v>
      </c>
      <c r="M26" s="64" t="e">
        <f t="shared" ca="1" si="1"/>
        <v>#NAME?</v>
      </c>
      <c r="N26" s="66" t="e">
        <f t="shared" ca="1" si="2"/>
        <v>#NAME?</v>
      </c>
      <c r="O26" s="65" t="e">
        <f ca="1">_xll.RiskOutput(,$O$13,1)+N26/((1+$R$9)^($B26-2016))</f>
        <v>#NAME?</v>
      </c>
      <c r="P26" s="15"/>
      <c r="Q26" s="65">
        <f>IF(COUNT($Q$14:Q25)&gt;$R$7,Q25*(1+$R$9),Q25)</f>
        <v>4122.3713073250146</v>
      </c>
      <c r="S26">
        <f t="shared" si="6"/>
        <v>2029</v>
      </c>
      <c r="T26" s="276" t="e">
        <f ca="1">'Petroleum Model'!E176</f>
        <v>#NAME?</v>
      </c>
      <c r="U26" s="46">
        <f>Assumptions!D112</f>
        <v>10.448399919100542</v>
      </c>
      <c r="V26" s="46">
        <f>Assumptions!C112</f>
        <v>717046.75</v>
      </c>
      <c r="W26" s="276" t="e">
        <f ca="1">_xll.RiskOutput(,W25,1)+(T26-U26)*1000000/V26</f>
        <v>#NAME?</v>
      </c>
      <c r="X26" s="47"/>
      <c r="Y26" s="276" t="e">
        <f ca="1">_xll.RiskPercentile(W26,0.5,_xll.RiskStatic(NA()))</f>
        <v>#NAME?</v>
      </c>
    </row>
    <row r="27" spans="2:25" ht="16.5" thickTop="1" thickBot="1" x14ac:dyDescent="0.3">
      <c r="B27" s="25">
        <f t="shared" si="4"/>
        <v>2030</v>
      </c>
      <c r="C27" s="25" t="s">
        <v>13</v>
      </c>
      <c r="D27" s="26" t="e">
        <f ca="1">IF(F27&lt;0,0,IF(F27&lt;0,0,_xll.RiskNormal($H$8,$E$9,_xll.RiskCorrmat($U$8:$V$9,2,C27),_xll.RiskStatic($E$8))))</f>
        <v>#NAME?</v>
      </c>
      <c r="E27" s="63" t="e">
        <f ca="1">_xll.RiskOutput(,E26,1)+'Petroleum Model'!C178</f>
        <v>#NAME?</v>
      </c>
      <c r="F27" s="64" t="e">
        <f ca="1">_xll.RiskOutput(,"Asset Base Nominal",2)+M26+F26</f>
        <v>#NAME?</v>
      </c>
      <c r="G27" s="65" t="e">
        <f ca="1">_xll.RiskOutput(,G26,1)+F27/(1+$R$9)^($B27-2017)</f>
        <v>#NAME?</v>
      </c>
      <c r="H27" s="64" t="e">
        <f ca="1">_xll.RiskOutput(,H13,14)+((F27+0.5*E27)-(0.5*K27))*D27</f>
        <v>#NAME?</v>
      </c>
      <c r="I27" s="66" t="e">
        <f t="shared" ca="1" si="5"/>
        <v>#NAME?</v>
      </c>
      <c r="J27" s="66" t="e">
        <f t="shared" ca="1" si="0"/>
        <v>#NAME?</v>
      </c>
      <c r="K27" s="64">
        <f t="shared" si="3"/>
        <v>4215.1246617398274</v>
      </c>
      <c r="L27" s="64" t="e">
        <f ca="1">_xll.RiskOutput(,L26,1)+IF(F27&gt;0,K27/((1+$R$9)^(B27-2017)),0)</f>
        <v>#NAME?</v>
      </c>
      <c r="M27" s="64" t="e">
        <f t="shared" ca="1" si="1"/>
        <v>#NAME?</v>
      </c>
      <c r="N27" s="66" t="e">
        <f t="shared" ca="1" si="2"/>
        <v>#NAME?</v>
      </c>
      <c r="O27" s="65" t="e">
        <f ca="1">_xll.RiskOutput(,$O$13,1)+N27/((1+$R$9)^($B27-2016))</f>
        <v>#NAME?</v>
      </c>
      <c r="P27" s="15"/>
      <c r="Q27" s="65">
        <f>IF(COUNT($Q$14:Q26)&gt;$R$7,Q26*(1+$R$9),Q26)</f>
        <v>4215.1246617398274</v>
      </c>
      <c r="S27">
        <f t="shared" si="6"/>
        <v>2030</v>
      </c>
      <c r="T27" s="276" t="e">
        <f ca="1">'Petroleum Model'!E177</f>
        <v>#NAME?</v>
      </c>
      <c r="U27" s="46">
        <f>Assumptions!D113</f>
        <v>10.683488917280302</v>
      </c>
      <c r="V27" s="46">
        <f>Assumptions!C113</f>
        <v>722433.25</v>
      </c>
      <c r="W27" s="276" t="e">
        <f ca="1">_xll.RiskOutput(,W26,1)+(T27-U27)*1000000/V27</f>
        <v>#NAME?</v>
      </c>
      <c r="X27" s="47"/>
      <c r="Y27" s="276" t="e">
        <f ca="1">_xll.RiskPercentile(W27,0.5,_xll.RiskStatic(NA()))</f>
        <v>#NAME?</v>
      </c>
    </row>
    <row r="28" spans="2:25" ht="16.5" thickTop="1" thickBot="1" x14ac:dyDescent="0.3">
      <c r="B28" s="25">
        <f t="shared" si="4"/>
        <v>2031</v>
      </c>
      <c r="C28" s="25" t="s">
        <v>14</v>
      </c>
      <c r="D28" s="26" t="e">
        <f ca="1">IF(F28&lt;0,0,IF(F28&lt;0,0,_xll.RiskNormal($H$8,$E$9,_xll.RiskCorrmat($U$8:$V$9,2,C28),_xll.RiskStatic($E$8))))</f>
        <v>#NAME?</v>
      </c>
      <c r="E28" s="63" t="e">
        <f ca="1">_xll.RiskOutput(,E27,1)+'Petroleum Model'!C179</f>
        <v>#NAME?</v>
      </c>
      <c r="F28" s="64" t="e">
        <f ca="1">_xll.RiskOutput(,"Asset Base Nominal",2)+M27+F27</f>
        <v>#NAME?</v>
      </c>
      <c r="G28" s="65" t="e">
        <f ca="1">_xll.RiskOutput(,G27,1)+F28/(1+$R$9)^($B28-2017)</f>
        <v>#NAME?</v>
      </c>
      <c r="H28" s="64" t="e">
        <f ca="1">_xll.RiskOutput(,H13,15)+((F28+0.5*E28)-(0.5*K28))*D28</f>
        <v>#NAME?</v>
      </c>
      <c r="I28" s="66" t="e">
        <f t="shared" ca="1" si="5"/>
        <v>#NAME?</v>
      </c>
      <c r="J28" s="66" t="e">
        <f t="shared" ca="1" si="0"/>
        <v>#NAME?</v>
      </c>
      <c r="K28" s="64">
        <f t="shared" si="3"/>
        <v>4309.9649666289733</v>
      </c>
      <c r="L28" s="64" t="e">
        <f ca="1">_xll.RiskOutput(,L27,1)+IF(F28&gt;0,K28/((1+$R$9)^(B28-2017)),0)</f>
        <v>#NAME?</v>
      </c>
      <c r="M28" s="64" t="e">
        <f t="shared" ca="1" si="1"/>
        <v>#NAME?</v>
      </c>
      <c r="N28" s="66" t="e">
        <f t="shared" ca="1" si="2"/>
        <v>#NAME?</v>
      </c>
      <c r="O28" s="65" t="e">
        <f ca="1">_xll.RiskOutput(,$O$13,1)+N28/((1+$R$9)^($B28-2016))</f>
        <v>#NAME?</v>
      </c>
      <c r="P28" s="15"/>
      <c r="Q28" s="65">
        <f>IF(COUNT($Q$14:Q27)&gt;$R$7,Q27*(1+$R$9),Q27)</f>
        <v>4309.9649666289733</v>
      </c>
      <c r="S28">
        <f t="shared" si="6"/>
        <v>2031</v>
      </c>
      <c r="T28" s="276" t="e">
        <f ca="1">'Petroleum Model'!E178</f>
        <v>#NAME?</v>
      </c>
      <c r="U28" s="46">
        <f>Assumptions!D114</f>
        <v>10.92386741791911</v>
      </c>
      <c r="V28" s="46">
        <f>Assumptions!C114</f>
        <v>727709.5</v>
      </c>
      <c r="W28" s="276" t="e">
        <f ca="1">_xll.RiskOutput(,W27,1)+(T28-U28)*1000000/V28</f>
        <v>#NAME?</v>
      </c>
      <c r="X28" s="47"/>
      <c r="Y28" s="276" t="e">
        <f ca="1">_xll.RiskPercentile(W28,0.5,_xll.RiskStatic(NA()))</f>
        <v>#NAME?</v>
      </c>
    </row>
    <row r="29" spans="2:25" ht="16.5" thickTop="1" thickBot="1" x14ac:dyDescent="0.3">
      <c r="B29" s="25">
        <f t="shared" si="4"/>
        <v>2032</v>
      </c>
      <c r="C29" s="25" t="s">
        <v>15</v>
      </c>
      <c r="D29" s="26" t="e">
        <f ca="1">IF(F29&lt;0,0,IF(F29&lt;0,0,_xll.RiskNormal($H$8,$E$9,_xll.RiskCorrmat($U$8:$V$9,2,C29),_xll.RiskStatic($E$8))))</f>
        <v>#NAME?</v>
      </c>
      <c r="E29" s="63" t="e">
        <f ca="1">_xll.RiskOutput(,E28,1)+'Petroleum Model'!C180</f>
        <v>#NAME?</v>
      </c>
      <c r="F29" s="64" t="e">
        <f ca="1">_xll.RiskOutput(,"Asset Base Nominal",2)+M28+F28</f>
        <v>#NAME?</v>
      </c>
      <c r="G29" s="65" t="e">
        <f ca="1">_xll.RiskOutput(,G28,1)+F29/(1+$R$9)^($B29-2017)</f>
        <v>#NAME?</v>
      </c>
      <c r="H29" s="64" t="e">
        <f ca="1">_xll.RiskOutput(,H13,16)+((F29+0.5*E29)-(0.5*K29))*D29</f>
        <v>#NAME?</v>
      </c>
      <c r="I29" s="66" t="e">
        <f t="shared" ca="1" si="5"/>
        <v>#NAME?</v>
      </c>
      <c r="J29" s="66" t="e">
        <f t="shared" ca="1" si="0"/>
        <v>#NAME?</v>
      </c>
      <c r="K29" s="64">
        <f t="shared" si="3"/>
        <v>4406.9391783781248</v>
      </c>
      <c r="L29" s="64" t="e">
        <f ca="1">_xll.RiskOutput(,L28,1)+IF(F29&gt;0,K29/((1+$R$9)^(B29-2017)),0)</f>
        <v>#NAME?</v>
      </c>
      <c r="M29" s="64" t="e">
        <f t="shared" ca="1" si="1"/>
        <v>#NAME?</v>
      </c>
      <c r="N29" s="66" t="e">
        <f t="shared" ca="1" si="2"/>
        <v>#NAME?</v>
      </c>
      <c r="O29" s="65" t="e">
        <f ca="1">_xll.RiskOutput(,$O$13,1)+N29/((1+$R$9)^($B29-2016))</f>
        <v>#NAME?</v>
      </c>
      <c r="P29" s="15"/>
      <c r="Q29" s="65">
        <f>IF(COUNT($Q$14:Q28)&gt;$R$7,Q28*(1+$R$9),Q28)</f>
        <v>4406.9391783781248</v>
      </c>
      <c r="S29">
        <f t="shared" si="6"/>
        <v>2032</v>
      </c>
      <c r="T29" s="276" t="e">
        <f ca="1">'Petroleum Model'!E179</f>
        <v>#NAME?</v>
      </c>
      <c r="U29" s="46">
        <f>Assumptions!D115</f>
        <v>11.169654434822288</v>
      </c>
      <c r="V29" s="46">
        <f>Assumptions!C115</f>
        <v>732914.88</v>
      </c>
      <c r="W29" s="276" t="e">
        <f ca="1">_xll.RiskOutput(,W28,1)+(T29-U29)*1000000/V29</f>
        <v>#NAME?</v>
      </c>
      <c r="X29" s="47"/>
      <c r="Y29" s="276" t="e">
        <f ca="1">_xll.RiskPercentile(W29,0.5,_xll.RiskStatic(NA()))</f>
        <v>#NAME?</v>
      </c>
    </row>
    <row r="30" spans="2:25" ht="16.5" thickTop="1" thickBot="1" x14ac:dyDescent="0.3">
      <c r="B30" s="25">
        <f t="shared" si="4"/>
        <v>2033</v>
      </c>
      <c r="C30" s="25" t="s">
        <v>16</v>
      </c>
      <c r="D30" s="26" t="e">
        <f ca="1">IF(F30&lt;0,0,IF(F30&lt;0,0,_xll.RiskNormal($H$8,$E$9,_xll.RiskCorrmat($U$8:$V$9,2,C30),_xll.RiskStatic($E$8))))</f>
        <v>#NAME?</v>
      </c>
      <c r="E30" s="63" t="e">
        <f ca="1">_xll.RiskOutput(,E29,1)+'Petroleum Model'!C181</f>
        <v>#NAME?</v>
      </c>
      <c r="F30" s="64" t="e">
        <f ca="1">_xll.RiskOutput(,"Asset Base Nominal",2)+M29+F29</f>
        <v>#NAME?</v>
      </c>
      <c r="G30" s="65" t="e">
        <f ca="1">_xll.RiskOutput(,G29,1)+F30/(1+$R$9)^($B30-2017)</f>
        <v>#NAME?</v>
      </c>
      <c r="H30" s="64" t="e">
        <f ca="1">_xll.RiskOutput(,H13,17)+((F30+0.5*E30)-(0.5*K30))*D30</f>
        <v>#NAME?</v>
      </c>
      <c r="I30" s="66" t="e">
        <f t="shared" ca="1" si="5"/>
        <v>#NAME?</v>
      </c>
      <c r="J30" s="66" t="e">
        <f t="shared" ca="1" si="0"/>
        <v>#NAME?</v>
      </c>
      <c r="K30" s="64">
        <f t="shared" si="3"/>
        <v>4506.0953098916325</v>
      </c>
      <c r="L30" s="64" t="e">
        <f ca="1">_xll.RiskOutput(,L29,1)+IF(F30&gt;0,K30/((1+$R$9)^(B30-2017)),0)</f>
        <v>#NAME?</v>
      </c>
      <c r="M30" s="64" t="e">
        <f t="shared" ca="1" si="1"/>
        <v>#NAME?</v>
      </c>
      <c r="N30" s="66" t="e">
        <f t="shared" ca="1" si="2"/>
        <v>#NAME?</v>
      </c>
      <c r="O30" s="65" t="e">
        <f ca="1">_xll.RiskOutput(,$O$13,1)+N30/((1+$R$9)^($B30-2016))</f>
        <v>#NAME?</v>
      </c>
      <c r="P30" s="15"/>
      <c r="Q30" s="65">
        <f>IF(COUNT($Q$14:Q29)&gt;$R$7,Q29*(1+$R$9),Q29)</f>
        <v>4506.0953098916325</v>
      </c>
      <c r="S30">
        <f t="shared" si="6"/>
        <v>2033</v>
      </c>
      <c r="T30" s="276" t="e">
        <f ca="1">'Petroleum Model'!E180</f>
        <v>#NAME?</v>
      </c>
      <c r="U30" s="46">
        <f>Assumptions!D116</f>
        <v>11.42097165960579</v>
      </c>
      <c r="V30" s="46">
        <f>Assumptions!C116</f>
        <v>738013.5</v>
      </c>
      <c r="W30" s="276" t="e">
        <f ca="1">_xll.RiskOutput(,W29,1)+(T30-U30)*1000000/V30</f>
        <v>#NAME?</v>
      </c>
      <c r="X30" s="47"/>
      <c r="Y30" s="276" t="e">
        <f ca="1">_xll.RiskPercentile(W30,0.5,_xll.RiskStatic(NA()))</f>
        <v>#NAME?</v>
      </c>
    </row>
    <row r="31" spans="2:25" ht="16.5" thickTop="1" thickBot="1" x14ac:dyDescent="0.3">
      <c r="B31" s="25">
        <f t="shared" si="4"/>
        <v>2034</v>
      </c>
      <c r="C31" s="25" t="s">
        <v>17</v>
      </c>
      <c r="D31" s="26" t="e">
        <f ca="1">IF(F31&lt;0,0,IF(F31&lt;0,0,_xll.RiskNormal($H$8,$E$9,_xll.RiskCorrmat($U$8:$V$9,2,C31),_xll.RiskStatic($E$8))))</f>
        <v>#NAME?</v>
      </c>
      <c r="E31" s="63" t="e">
        <f ca="1">_xll.RiskOutput(,E30,1)+'Petroleum Model'!C182</f>
        <v>#NAME?</v>
      </c>
      <c r="F31" s="64" t="e">
        <f ca="1">_xll.RiskOutput(,"Asset Base Nominal",2)+M30+F30</f>
        <v>#NAME?</v>
      </c>
      <c r="G31" s="65" t="e">
        <f ca="1">_xll.RiskOutput(,G30,1)+F31/(1+$R$9)^($B31-2017)</f>
        <v>#NAME?</v>
      </c>
      <c r="H31" s="64" t="e">
        <f ca="1">_xll.RiskOutput(,H13,18)+((F31+0.5*E31)-(0.5*K31))*D31</f>
        <v>#NAME?</v>
      </c>
      <c r="I31" s="66" t="e">
        <f t="shared" ca="1" si="5"/>
        <v>#NAME?</v>
      </c>
      <c r="J31" s="66" t="e">
        <f t="shared" ca="1" si="0"/>
        <v>#NAME?</v>
      </c>
      <c r="K31" s="64">
        <f t="shared" si="3"/>
        <v>4607.4824543641944</v>
      </c>
      <c r="L31" s="64" t="e">
        <f ca="1">_xll.RiskOutput(,L30,1)+IF(F31&gt;0,K31/((1+$R$9)^(B31-2017)),0)</f>
        <v>#NAME?</v>
      </c>
      <c r="M31" s="64" t="e">
        <f t="shared" ca="1" si="1"/>
        <v>#NAME?</v>
      </c>
      <c r="N31" s="66" t="e">
        <f t="shared" ca="1" si="2"/>
        <v>#NAME?</v>
      </c>
      <c r="O31" s="65" t="e">
        <f ca="1">_xll.RiskOutput(,$O$13,1)+N31/((1+$R$9)^($B31-2016))</f>
        <v>#NAME?</v>
      </c>
      <c r="P31" s="15"/>
      <c r="Q31" s="65">
        <f>IF(COUNT($Q$14:Q30)&gt;$R$7,Q30*(1+$R$9),Q30)</f>
        <v>4607.4824543641944</v>
      </c>
      <c r="S31">
        <f t="shared" si="6"/>
        <v>2034</v>
      </c>
      <c r="T31" s="276" t="e">
        <f ca="1">'Petroleum Model'!E181</f>
        <v>#NAME?</v>
      </c>
      <c r="U31" s="46">
        <f>Assumptions!D117</f>
        <v>11.67794352194692</v>
      </c>
      <c r="V31" s="46">
        <f>Assumptions!C117</f>
        <v>743043.88</v>
      </c>
      <c r="W31" s="276" t="e">
        <f ca="1">_xll.RiskOutput(,W30,1)+(T31-U31)*1000000/V31</f>
        <v>#NAME?</v>
      </c>
      <c r="X31" s="47"/>
      <c r="Y31" s="276" t="e">
        <f ca="1">_xll.RiskPercentile(W31,0.5,_xll.RiskStatic(NA()))</f>
        <v>#NAME?</v>
      </c>
    </row>
    <row r="32" spans="2:25" ht="16.5" thickTop="1" thickBot="1" x14ac:dyDescent="0.3">
      <c r="B32" s="25">
        <f t="shared" si="4"/>
        <v>2035</v>
      </c>
      <c r="C32" s="25" t="s">
        <v>18</v>
      </c>
      <c r="D32" s="26" t="e">
        <f ca="1">IF(F32&lt;0,0,IF(F32&lt;0,0,_xll.RiskNormal($H$8,$E$9,_xll.RiskCorrmat($U$8:$V$9,2,C32),_xll.RiskStatic($E$8))))</f>
        <v>#NAME?</v>
      </c>
      <c r="E32" s="63" t="e">
        <f ca="1">_xll.RiskOutput(,E31,1)+'Petroleum Model'!C183</f>
        <v>#NAME?</v>
      </c>
      <c r="F32" s="64" t="e">
        <f ca="1">_xll.RiskOutput(,"Asset Base Nominal",2)+M31+F31</f>
        <v>#NAME?</v>
      </c>
      <c r="G32" s="65" t="e">
        <f ca="1">_xll.RiskOutput(,G31,1)+F32/(1+$R$9)^($B32-2017)</f>
        <v>#NAME?</v>
      </c>
      <c r="H32" s="64" t="e">
        <f ca="1">_xll.RiskOutput(,H13,19)+((F32+0.5*E32)-(0.5*K32))*D32</f>
        <v>#NAME?</v>
      </c>
      <c r="I32" s="66" t="e">
        <f t="shared" ca="1" si="5"/>
        <v>#NAME?</v>
      </c>
      <c r="J32" s="66" t="e">
        <f t="shared" ca="1" si="0"/>
        <v>#NAME?</v>
      </c>
      <c r="K32" s="64">
        <f t="shared" si="3"/>
        <v>4711.1508095873887</v>
      </c>
      <c r="L32" s="64" t="e">
        <f ca="1">_xll.RiskOutput(,L31,1)+IF(F32&gt;0,K32/((1+$R$9)^(B32-2017)),0)</f>
        <v>#NAME?</v>
      </c>
      <c r="M32" s="64" t="e">
        <f t="shared" ca="1" si="1"/>
        <v>#NAME?</v>
      </c>
      <c r="N32" s="66" t="e">
        <f t="shared" ca="1" si="2"/>
        <v>#NAME?</v>
      </c>
      <c r="O32" s="65" t="e">
        <f ca="1">_xll.RiskOutput(,$O$13,1)+N32/((1+$R$9)^($B32-2016))</f>
        <v>#NAME?</v>
      </c>
      <c r="P32" s="15"/>
      <c r="Q32" s="65">
        <f>IF(COUNT($Q$14:Q31)&gt;$R$7,Q31*(1+$R$9),Q31)</f>
        <v>4711.1508095873887</v>
      </c>
      <c r="S32">
        <f t="shared" si="6"/>
        <v>2035</v>
      </c>
      <c r="T32" s="276" t="e">
        <f ca="1">'Petroleum Model'!E182</f>
        <v>#NAME?</v>
      </c>
      <c r="U32" s="46">
        <f>Assumptions!D118</f>
        <v>11.940697251190725</v>
      </c>
      <c r="V32" s="46">
        <f>Assumptions!C118</f>
        <v>748029.63</v>
      </c>
      <c r="W32" s="276" t="e">
        <f ca="1">_xll.RiskOutput(,W31,1)+(T32-U32)*1000000/V32</f>
        <v>#NAME?</v>
      </c>
      <c r="X32" s="47"/>
      <c r="Y32" s="276" t="e">
        <f ca="1">_xll.RiskPercentile(W32,0.5,_xll.RiskStatic(NA()))</f>
        <v>#NAME?</v>
      </c>
    </row>
    <row r="33" spans="2:25" ht="16.5" thickTop="1" thickBot="1" x14ac:dyDescent="0.3">
      <c r="B33" s="25">
        <f t="shared" si="4"/>
        <v>2036</v>
      </c>
      <c r="C33" s="25" t="s">
        <v>19</v>
      </c>
      <c r="D33" s="26" t="e">
        <f ca="1">IF(F33&lt;0,0,IF(F33&lt;0,0,_xll.RiskNormal($H$8,$E$9,_xll.RiskCorrmat($U$8:$V$9,2,C33),_xll.RiskStatic($E$8))))</f>
        <v>#NAME?</v>
      </c>
      <c r="E33" s="63" t="e">
        <f ca="1">_xll.RiskOutput(,E32,1)+'Petroleum Model'!C184</f>
        <v>#NAME?</v>
      </c>
      <c r="F33" s="64" t="e">
        <f ca="1">_xll.RiskOutput(,"Asset Base Nominal",2)+M32+F32</f>
        <v>#NAME?</v>
      </c>
      <c r="G33" s="65" t="e">
        <f ca="1">_xll.RiskOutput(,G32,1)+F33/(1+$R$9)^($B33-2017)</f>
        <v>#NAME?</v>
      </c>
      <c r="H33" s="64" t="e">
        <f ca="1">_xll.RiskOutput(,H13,20)+((F33+0.5*E33)-(0.5*K33))*D33</f>
        <v>#NAME?</v>
      </c>
      <c r="I33" s="66" t="e">
        <f t="shared" ca="1" si="5"/>
        <v>#NAME?</v>
      </c>
      <c r="J33" s="66" t="e">
        <f t="shared" ca="1" si="0"/>
        <v>#NAME?</v>
      </c>
      <c r="K33" s="64">
        <f t="shared" si="3"/>
        <v>4817.1517028031049</v>
      </c>
      <c r="L33" s="64" t="e">
        <f ca="1">_xll.RiskOutput(,L32,1)+IF(F33&gt;0,K33/((1+$R$9)^(B33-2017)),0)</f>
        <v>#NAME?</v>
      </c>
      <c r="M33" s="64" t="e">
        <f t="shared" ca="1" si="1"/>
        <v>#NAME?</v>
      </c>
      <c r="N33" s="66" t="e">
        <f t="shared" ca="1" si="2"/>
        <v>#NAME?</v>
      </c>
      <c r="O33" s="65" t="e">
        <f ca="1">_xll.RiskOutput(,$O$13,1)+N33/((1+$R$9)^($B33-2016))</f>
        <v>#NAME?</v>
      </c>
      <c r="P33" s="15"/>
      <c r="Q33" s="65">
        <f>IF(COUNT($Q$14:Q32)&gt;$R$7,Q32*(1+$R$9),Q32)</f>
        <v>4817.1517028031049</v>
      </c>
      <c r="S33">
        <f t="shared" si="6"/>
        <v>2036</v>
      </c>
      <c r="T33" s="276" t="e">
        <f ca="1">'Petroleum Model'!E183</f>
        <v>#NAME?</v>
      </c>
      <c r="U33" s="46">
        <f>Assumptions!D119</f>
        <v>12.209362939342517</v>
      </c>
      <c r="V33" s="46">
        <f>Assumptions!C119</f>
        <v>752965.5</v>
      </c>
      <c r="W33" s="276" t="e">
        <f ca="1">_xll.RiskOutput(,W32,1)+(T33-U33)*1000000/V33</f>
        <v>#NAME?</v>
      </c>
      <c r="X33" s="47"/>
      <c r="Y33" s="276" t="e">
        <f ca="1">_xll.RiskPercentile(W33,0.5,_xll.RiskStatic(NA()))</f>
        <v>#NAME?</v>
      </c>
    </row>
    <row r="34" spans="2:25" ht="16.5" thickTop="1" thickBot="1" x14ac:dyDescent="0.3">
      <c r="B34" s="25">
        <f t="shared" si="4"/>
        <v>2037</v>
      </c>
      <c r="C34" s="25" t="s">
        <v>20</v>
      </c>
      <c r="D34" s="26" t="e">
        <f ca="1">IF(F34&lt;0,0,IF(F34&lt;0,0,_xll.RiskNormal($H$8,$E$9,_xll.RiskCorrmat($U$8:$V$9,2,C34),_xll.RiskStatic($E$8))))</f>
        <v>#NAME?</v>
      </c>
      <c r="E34" s="63" t="e">
        <f ca="1">_xll.RiskOutput(,E33,1)+'Petroleum Model'!C185</f>
        <v>#NAME?</v>
      </c>
      <c r="F34" s="64" t="e">
        <f ca="1">_xll.RiskOutput(,"Asset Base Nominal",2)+M33+F33</f>
        <v>#NAME?</v>
      </c>
      <c r="G34" s="65" t="e">
        <f ca="1">_xll.RiskOutput(,G33,1)+F34/(1+$R$9)^($B34-2017)</f>
        <v>#NAME?</v>
      </c>
      <c r="H34" s="64" t="e">
        <f ca="1">_xll.RiskOutput(,H13,21)+((F34+0.5*E34)-(0.5*K34))*D34</f>
        <v>#NAME?</v>
      </c>
      <c r="I34" s="66" t="e">
        <f t="shared" ca="1" si="5"/>
        <v>#NAME?</v>
      </c>
      <c r="J34" s="66" t="e">
        <f t="shared" ca="1" si="0"/>
        <v>#NAME?</v>
      </c>
      <c r="K34" s="64">
        <f t="shared" si="3"/>
        <v>4925.5376161161748</v>
      </c>
      <c r="L34" s="64" t="e">
        <f ca="1">_xll.RiskOutput(,L33,1)+IF(F34&gt;0,K34/((1+$R$9)^(B34-2017)),0)</f>
        <v>#NAME?</v>
      </c>
      <c r="M34" s="64" t="e">
        <f t="shared" ca="1" si="1"/>
        <v>#NAME?</v>
      </c>
      <c r="N34" s="66" t="e">
        <f t="shared" ca="1" si="2"/>
        <v>#NAME?</v>
      </c>
      <c r="O34" s="65" t="e">
        <f ca="1">_xll.RiskOutput(,$O$13,1)+N34/((1+$R$9)^($B34-2016))</f>
        <v>#NAME?</v>
      </c>
      <c r="P34" s="15"/>
      <c r="Q34" s="65">
        <f>IF(COUNT($Q$14:Q33)&gt;$R$7,Q33*(1+$R$9),Q33)</f>
        <v>4925.5376161161748</v>
      </c>
      <c r="S34">
        <f t="shared" si="6"/>
        <v>2037</v>
      </c>
      <c r="T34" s="276" t="e">
        <f ca="1">'Petroleum Model'!E184</f>
        <v>#NAME?</v>
      </c>
      <c r="U34" s="46">
        <f>Assumptions!D120</f>
        <v>12.484073605477723</v>
      </c>
      <c r="V34" s="46">
        <f>Assumptions!C120</f>
        <v>757869.88</v>
      </c>
      <c r="W34" s="276" t="e">
        <f ca="1">_xll.RiskOutput(,W33,1)+(T34-U34)*1000000/V34</f>
        <v>#NAME?</v>
      </c>
      <c r="X34" s="47"/>
      <c r="Y34" s="276" t="e">
        <f ca="1">_xll.RiskPercentile(W34,0.5,_xll.RiskStatic(NA()))</f>
        <v>#NAME?</v>
      </c>
    </row>
    <row r="35" spans="2:25" ht="16.5" thickTop="1" thickBot="1" x14ac:dyDescent="0.3">
      <c r="B35" s="25">
        <f t="shared" si="4"/>
        <v>2038</v>
      </c>
      <c r="C35" s="25" t="s">
        <v>21</v>
      </c>
      <c r="D35" s="26" t="e">
        <f ca="1">IF(F35&lt;0,0,IF(F35&lt;0,0,_xll.RiskNormal($H$8,$E$9,_xll.RiskCorrmat($U$8:$V$9,2,C35),_xll.RiskStatic($E$8))))</f>
        <v>#NAME?</v>
      </c>
      <c r="E35" s="63" t="e">
        <f ca="1">_xll.RiskOutput(,E34,1)+'Petroleum Model'!C186</f>
        <v>#NAME?</v>
      </c>
      <c r="F35" s="64" t="e">
        <f ca="1">_xll.RiskOutput(,"Asset Base Nominal",2)+M34+F34</f>
        <v>#NAME?</v>
      </c>
      <c r="G35" s="65" t="e">
        <f ca="1">_xll.RiskOutput(,G34,1)+F35/(1+$R$9)^($B35-2017)</f>
        <v>#NAME?</v>
      </c>
      <c r="H35" s="64" t="e">
        <f ca="1">_xll.RiskOutput(,H13,22)+((F35+0.5*E35)-(0.5*K35))*D35</f>
        <v>#NAME?</v>
      </c>
      <c r="I35" s="66" t="e">
        <f t="shared" ca="1" si="5"/>
        <v>#NAME?</v>
      </c>
      <c r="J35" s="66" t="e">
        <f t="shared" ca="1" si="0"/>
        <v>#NAME?</v>
      </c>
      <c r="K35" s="64">
        <f t="shared" si="3"/>
        <v>5036.3622124787889</v>
      </c>
      <c r="L35" s="64" t="e">
        <f ca="1">_xll.RiskOutput(,L34,1)+IF(F35&gt;0,K35/((1+$R$9)^(B35-2017)),0)</f>
        <v>#NAME?</v>
      </c>
      <c r="M35" s="64" t="e">
        <f t="shared" ca="1" si="1"/>
        <v>#NAME?</v>
      </c>
      <c r="N35" s="66" t="e">
        <f t="shared" ca="1" si="2"/>
        <v>#NAME?</v>
      </c>
      <c r="O35" s="65" t="e">
        <f ca="1">_xll.RiskOutput(,$O$13,1)+N35/((1+$R$9)^($B35-2016))</f>
        <v>#NAME?</v>
      </c>
      <c r="P35" s="15"/>
      <c r="Q35" s="65">
        <f>IF(COUNT($Q$14:Q34)&gt;$R$7,Q34*(1+$R$9),Q34)</f>
        <v>5036.3622124787889</v>
      </c>
      <c r="S35">
        <f t="shared" si="6"/>
        <v>2038</v>
      </c>
      <c r="T35" s="276" t="e">
        <f ca="1">'Petroleum Model'!E185</f>
        <v>#NAME?</v>
      </c>
      <c r="U35" s="46">
        <f>Assumptions!D121</f>
        <v>12.764965261600972</v>
      </c>
      <c r="V35" s="46">
        <f>Assumptions!C121</f>
        <v>762769.88</v>
      </c>
      <c r="W35" s="276" t="e">
        <f ca="1">_xll.RiskOutput(,W34,1)+(T35-U35)*1000000/V35</f>
        <v>#NAME?</v>
      </c>
      <c r="X35" s="47"/>
      <c r="Y35" s="276" t="e">
        <f ca="1">_xll.RiskPercentile(W35,0.5,_xll.RiskStatic(NA()))</f>
        <v>#NAME?</v>
      </c>
    </row>
    <row r="36" spans="2:25" ht="16.5" thickTop="1" thickBot="1" x14ac:dyDescent="0.3">
      <c r="B36" s="25">
        <f t="shared" si="4"/>
        <v>2039</v>
      </c>
      <c r="C36" s="25" t="s">
        <v>22</v>
      </c>
      <c r="D36" s="26" t="e">
        <f ca="1">IF(F36&lt;0,0,IF(F36&lt;0,0,_xll.RiskNormal($H$8,$E$9,_xll.RiskCorrmat($U$8:$V$9,2,C36),_xll.RiskStatic($E$8))))</f>
        <v>#NAME?</v>
      </c>
      <c r="E36" s="63" t="e">
        <f ca="1">_xll.RiskOutput(,E35,1)+'Petroleum Model'!C187</f>
        <v>#NAME?</v>
      </c>
      <c r="F36" s="64" t="e">
        <f ca="1">_xll.RiskOutput(,"Asset Base Nominal",2)+M35+F35</f>
        <v>#NAME?</v>
      </c>
      <c r="G36" s="65" t="e">
        <f ca="1">_xll.RiskOutput(,G35,1)+F36/(1+$R$9)^($B36-2017)</f>
        <v>#NAME?</v>
      </c>
      <c r="H36" s="64" t="e">
        <f ca="1">_xll.RiskOutput(,H13,23)+((F36+0.5*E36)-(0.5*K36))*D36</f>
        <v>#NAME?</v>
      </c>
      <c r="I36" s="66" t="e">
        <f t="shared" ca="1" si="5"/>
        <v>#NAME?</v>
      </c>
      <c r="J36" s="66" t="e">
        <f t="shared" ca="1" si="0"/>
        <v>#NAME?</v>
      </c>
      <c r="K36" s="64">
        <f t="shared" si="3"/>
        <v>5149.6803622595617</v>
      </c>
      <c r="L36" s="64" t="e">
        <f ca="1">_xll.RiskOutput(,L35,1)+IF(F36&gt;0,K36/((1+$R$9)^(B36-2017)),0)</f>
        <v>#NAME?</v>
      </c>
      <c r="M36" s="64" t="e">
        <f t="shared" ca="1" si="1"/>
        <v>#NAME?</v>
      </c>
      <c r="N36" s="66" t="e">
        <f t="shared" ca="1" si="2"/>
        <v>#NAME?</v>
      </c>
      <c r="O36" s="65" t="e">
        <f ca="1">_xll.RiskOutput(,$O$13,1)+N36/((1+$R$9)^($B36-2016))</f>
        <v>#NAME?</v>
      </c>
      <c r="P36" s="15"/>
      <c r="Q36" s="65">
        <f>IF(COUNT($Q$14:Q35)&gt;$R$7,Q35*(1+$R$9),Q35)</f>
        <v>5149.6803622595617</v>
      </c>
      <c r="S36">
        <f t="shared" si="6"/>
        <v>2039</v>
      </c>
      <c r="T36" s="276" t="e">
        <f ca="1">'Petroleum Model'!E186</f>
        <v>#NAME?</v>
      </c>
      <c r="U36" s="46">
        <f>Assumptions!D122</f>
        <v>13.052176979986992</v>
      </c>
      <c r="V36" s="46">
        <f>Assumptions!C122</f>
        <v>767659.38</v>
      </c>
      <c r="W36" s="276" t="e">
        <f ca="1">_xll.RiskOutput(,W35,1)+(T36-U36)*1000000/V36</f>
        <v>#NAME?</v>
      </c>
      <c r="X36" s="47"/>
      <c r="Y36" s="276" t="e">
        <f ca="1">_xll.RiskPercentile(W36,0.5,_xll.RiskStatic(NA()))</f>
        <v>#NAME?</v>
      </c>
    </row>
    <row r="37" spans="2:25" ht="16.5" thickTop="1" thickBot="1" x14ac:dyDescent="0.3">
      <c r="B37" s="25">
        <f t="shared" si="4"/>
        <v>2040</v>
      </c>
      <c r="C37" s="25" t="s">
        <v>23</v>
      </c>
      <c r="D37" s="26" t="e">
        <f ca="1">IF(F37&lt;0,0,IF(F37&lt;0,0,_xll.RiskNormal($H$8,$E$9,_xll.RiskCorrmat($U$8:$V$9,2,C37),_xll.RiskStatic($E$8))))</f>
        <v>#NAME?</v>
      </c>
      <c r="E37" s="63" t="e">
        <f ca="1">_xll.RiskOutput(,E36,1)+'Petroleum Model'!C188</f>
        <v>#NAME?</v>
      </c>
      <c r="F37" s="64" t="e">
        <f ca="1">_xll.RiskOutput(,"Asset Base Nominal",2)+M36+F36</f>
        <v>#NAME?</v>
      </c>
      <c r="G37" s="65" t="e">
        <f ca="1">_xll.RiskOutput(,G36,1)+F37/(1+$R$9)^($B37-2017)</f>
        <v>#NAME?</v>
      </c>
      <c r="H37" s="64" t="e">
        <f ca="1">_xll.RiskOutput(,H13,24)+((F37+0.5*E37)-(0.5*K37))*D37</f>
        <v>#NAME?</v>
      </c>
      <c r="I37" s="66" t="e">
        <f t="shared" ca="1" si="5"/>
        <v>#NAME?</v>
      </c>
      <c r="J37" s="66" t="e">
        <f t="shared" ca="1" si="0"/>
        <v>#NAME?</v>
      </c>
      <c r="K37" s="64">
        <f t="shared" si="3"/>
        <v>5265.5481704104013</v>
      </c>
      <c r="L37" s="64" t="e">
        <f ca="1">_xll.RiskOutput(,L36,1)+IF(F37&gt;0,K37/((1+$R$9)^(B37-2017)),0)</f>
        <v>#NAME?</v>
      </c>
      <c r="M37" s="64" t="e">
        <f t="shared" ca="1" si="1"/>
        <v>#NAME?</v>
      </c>
      <c r="N37" s="66" t="e">
        <f t="shared" ca="1" si="2"/>
        <v>#NAME?</v>
      </c>
      <c r="O37" s="65" t="e">
        <f ca="1">_xll.RiskOutput(,$O$13,1)+N37/((1+$R$9)^($B37-2016))</f>
        <v>#NAME?</v>
      </c>
      <c r="P37" s="15"/>
      <c r="Q37" s="65">
        <f>IF(COUNT($Q$14:Q36)&gt;$R$7,Q36*(1+$R$9),Q36)</f>
        <v>5265.5481704104013</v>
      </c>
      <c r="S37">
        <f t="shared" si="6"/>
        <v>2040</v>
      </c>
      <c r="T37" s="276" t="e">
        <f ca="1">'Petroleum Model'!E187</f>
        <v>#NAME?</v>
      </c>
      <c r="U37" s="46">
        <f>Assumptions!D123</f>
        <v>13.3458509620367</v>
      </c>
      <c r="V37" s="46">
        <f>Assumptions!C123</f>
        <v>772534.88</v>
      </c>
      <c r="W37" s="276" t="e">
        <f ca="1">_xll.RiskOutput(,W36,1)+(T37-U37)*1000000/V37</f>
        <v>#NAME?</v>
      </c>
      <c r="X37" s="47"/>
      <c r="Y37" s="276" t="e">
        <f ca="1">_xll.RiskPercentile(W37,0.5,_xll.RiskStatic(NA()))</f>
        <v>#NAME?</v>
      </c>
    </row>
    <row r="38" spans="2:25" ht="15" customHeight="1" thickTop="1" x14ac:dyDescent="0.25">
      <c r="D38" s="8"/>
      <c r="E38" s="9"/>
      <c r="F38" s="6"/>
      <c r="G38" s="6"/>
      <c r="I38" s="4"/>
      <c r="J38" s="4"/>
      <c r="N38" s="2"/>
      <c r="O38" s="2"/>
      <c r="P38" s="1"/>
      <c r="T38" t="s">
        <v>318</v>
      </c>
    </row>
    <row r="39" spans="2:25" x14ac:dyDescent="0.25">
      <c r="D39" s="83" t="s">
        <v>129</v>
      </c>
      <c r="E39" s="66" t="e">
        <f ca="1">_xll.RiskOutput()+SUM(E14:E37)</f>
        <v>#NAME?</v>
      </c>
      <c r="F39" s="84"/>
      <c r="G39" s="84"/>
      <c r="H39" s="66" t="e">
        <f ca="1">_xll.RiskOutput()+SUM(H14:H37)</f>
        <v>#NAME?</v>
      </c>
      <c r="I39" s="66" t="e">
        <f ca="1">_xll.RiskOutput("Total $ in / all")+SUM(H39,E39)</f>
        <v>#NAME?</v>
      </c>
      <c r="J39" s="66" t="e">
        <f ca="1">_xll.RiskOutput("Total $ in / all")+SUM(I39,F39)</f>
        <v>#NAME?</v>
      </c>
      <c r="K39" s="66" t="e">
        <f ca="1">_xll.RiskOutput("Total $ in / all")+SUM(J39,G39)</f>
        <v>#NAME?</v>
      </c>
    </row>
    <row r="41" spans="2:25" s="39" customFormat="1" x14ac:dyDescent="0.25">
      <c r="B41" s="60" t="s">
        <v>96</v>
      </c>
      <c r="H41" s="59"/>
      <c r="L41" s="59"/>
      <c r="S41" s="59"/>
    </row>
    <row r="42" spans="2:25" x14ac:dyDescent="0.25">
      <c r="B42" s="5" t="s">
        <v>127</v>
      </c>
      <c r="H42" s="10"/>
      <c r="J42" s="2"/>
      <c r="L42" s="10"/>
      <c r="S42" s="10"/>
    </row>
    <row r="43" spans="2:25" x14ac:dyDescent="0.25">
      <c r="C43" s="24" t="s">
        <v>36</v>
      </c>
      <c r="D43" s="24" t="s">
        <v>37</v>
      </c>
      <c r="E43" s="24" t="s">
        <v>38</v>
      </c>
      <c r="S43" s="10"/>
    </row>
    <row r="44" spans="2:25" x14ac:dyDescent="0.25">
      <c r="B44" s="82" t="s">
        <v>128</v>
      </c>
      <c r="C44" s="85">
        <f>Assumptions!C28</f>
        <v>40000</v>
      </c>
      <c r="D44" s="85">
        <f>Assumptions!C30</f>
        <v>9500</v>
      </c>
      <c r="E44" s="85">
        <f>Assumptions!C29</f>
        <v>5500</v>
      </c>
      <c r="G44" s="24" t="s">
        <v>121</v>
      </c>
      <c r="H44" s="24" t="s">
        <v>41</v>
      </c>
      <c r="I44" s="288" t="s">
        <v>122</v>
      </c>
      <c r="K44" t="s">
        <v>72</v>
      </c>
    </row>
    <row r="45" spans="2:25" ht="15.75" thickBot="1" x14ac:dyDescent="0.3">
      <c r="B45" s="18">
        <f>B14</f>
        <v>2017</v>
      </c>
      <c r="C45" s="63" t="e">
        <f ca="1">_xll.RiskOutput(,C43,1)+$C$44+SUM($G$45:G45)</f>
        <v>#NAME?</v>
      </c>
      <c r="D45" s="63" t="e">
        <f ca="1">_xll.RiskOutput(,D43,1)+N14-C45-E45</f>
        <v>#NAME?</v>
      </c>
      <c r="E45" s="63" t="e">
        <f ca="1">_xll.RiskOutput(,E43,1)+E44+H14-H45</f>
        <v>#NAME?</v>
      </c>
      <c r="G45" s="64" t="e">
        <f ca="1">'Petroleum Model'!D165</f>
        <v>#NAME?</v>
      </c>
      <c r="H45" s="64" t="e">
        <f t="shared" ref="H45:H68" ca="1" si="7">I45*((F14+0.5*E14)-(0.5*K14))</f>
        <v>#NAME?</v>
      </c>
      <c r="I45" s="27" t="e">
        <f ca="1">_xll.RiskPertAlt(10%,$L$45,50%,$L$46,90%,$L$47,_xll.RiskCorrmat($U$8:$V$9,1,C14),_xll.RiskStatic($L$46))</f>
        <v>#NAME?</v>
      </c>
      <c r="K45" t="s">
        <v>44</v>
      </c>
      <c r="L45" s="44">
        <f>Assumptions!C49</f>
        <v>3.6999999999999998E-2</v>
      </c>
    </row>
    <row r="46" spans="2:25" ht="16.5" thickTop="1" thickBot="1" x14ac:dyDescent="0.3">
      <c r="B46" s="18">
        <f t="shared" ref="B46:B68" si="8">B15</f>
        <v>2018</v>
      </c>
      <c r="C46" s="63" t="e">
        <f ca="1">_xll.RiskOutput(,C43,2)+$C$44+SUM($G$45:G46)</f>
        <v>#NAME?</v>
      </c>
      <c r="D46" s="63" t="e">
        <f ca="1">_xll.RiskOutput(,D43,2)+N15-C46-E46</f>
        <v>#NAME?</v>
      </c>
      <c r="E46" s="63" t="e">
        <f ca="1">_xll.RiskOutput(,E43,2)+E45+H15-H46</f>
        <v>#NAME?</v>
      </c>
      <c r="G46" s="64" t="e">
        <f ca="1">IF(D45&lt;$L$50*K14,'Petroleum Model'!D166,E15)</f>
        <v>#NAME?</v>
      </c>
      <c r="H46" s="64" t="e">
        <f t="shared" ca="1" si="7"/>
        <v>#NAME?</v>
      </c>
      <c r="I46" s="27" t="e">
        <f ca="1">_xll.RiskPertAlt(10%,$L$45,50%,$L$46,90%,$L$47,_xll.RiskCorrmat($U$8:$V$9,1,C15),_xll.RiskStatic($L$46))</f>
        <v>#NAME?</v>
      </c>
      <c r="K46" t="s">
        <v>45</v>
      </c>
      <c r="L46" s="44">
        <f>Assumptions!C50</f>
        <v>6.0100000000000001E-2</v>
      </c>
    </row>
    <row r="47" spans="2:25" ht="16.5" thickTop="1" thickBot="1" x14ac:dyDescent="0.3">
      <c r="B47" s="18">
        <f t="shared" si="8"/>
        <v>2019</v>
      </c>
      <c r="C47" s="63" t="e">
        <f ca="1">_xll.RiskOutput(,C43,3)+$C$44+SUM($G$45:G47)</f>
        <v>#NAME?</v>
      </c>
      <c r="D47" s="63" t="e">
        <f ca="1">_xll.RiskOutput(,D43,3)+N16-C47-E47</f>
        <v>#NAME?</v>
      </c>
      <c r="E47" s="63" t="e">
        <f ca="1">_xll.RiskOutput(,E43,3)+E46+H16-H47</f>
        <v>#NAME?</v>
      </c>
      <c r="G47" s="64" t="e">
        <f ca="1">IF(D46&lt;$L$50*K15,'Petroleum Model'!D167,E16)</f>
        <v>#NAME?</v>
      </c>
      <c r="H47" s="64" t="e">
        <f t="shared" ca="1" si="7"/>
        <v>#NAME?</v>
      </c>
      <c r="I47" s="27" t="e">
        <f ca="1">_xll.RiskPertAlt(10%,$L$45,50%,$L$46,90%,$L$47,_xll.RiskCorrmat($U$8:$V$9,1,C16),_xll.RiskStatic($L$46))</f>
        <v>#NAME?</v>
      </c>
      <c r="K47" t="s">
        <v>43</v>
      </c>
      <c r="L47" s="44">
        <f>Assumptions!C51</f>
        <v>8.14E-2</v>
      </c>
    </row>
    <row r="48" spans="2:25" ht="15.75" thickTop="1" x14ac:dyDescent="0.25">
      <c r="B48" s="18">
        <f t="shared" si="8"/>
        <v>2020</v>
      </c>
      <c r="C48" s="63" t="e">
        <f ca="1">_xll.RiskOutput(,C43,4)+$C$44+SUM($G$45:G48)</f>
        <v>#NAME?</v>
      </c>
      <c r="D48" s="63" t="e">
        <f ca="1">_xll.RiskOutput(,D43,4)+N17-C48-E48</f>
        <v>#NAME?</v>
      </c>
      <c r="E48" s="63" t="e">
        <f ca="1">_xll.RiskOutput(,E43,4)+E47+H17-H48</f>
        <v>#NAME?</v>
      </c>
      <c r="G48" s="64" t="e">
        <f ca="1">IF(D47&lt;$L$50*K16,'Petroleum Model'!D168,E17)</f>
        <v>#NAME?</v>
      </c>
      <c r="H48" s="64" t="e">
        <f t="shared" ca="1" si="7"/>
        <v>#NAME?</v>
      </c>
      <c r="I48" s="27" t="e">
        <f ca="1">_xll.RiskPertAlt(10%,$L$45,50%,$L$46,90%,$L$47,_xll.RiskCorrmat($U$8:$V$9,1,C17),_xll.RiskStatic($L$46))</f>
        <v>#NAME?</v>
      </c>
    </row>
    <row r="49" spans="2:12" x14ac:dyDescent="0.25">
      <c r="B49" s="18">
        <f t="shared" si="8"/>
        <v>2021</v>
      </c>
      <c r="C49" s="63" t="e">
        <f ca="1">_xll.RiskOutput(,C43,5)+$C$44+SUM($G$45:G49)</f>
        <v>#NAME?</v>
      </c>
      <c r="D49" s="63" t="e">
        <f ca="1">_xll.RiskOutput(,D43,5)+N18-C49-E49</f>
        <v>#NAME?</v>
      </c>
      <c r="E49" s="63" t="e">
        <f ca="1">_xll.RiskOutput(,E43,5)+E48+H18-H49</f>
        <v>#NAME?</v>
      </c>
      <c r="G49" s="64" t="e">
        <f ca="1">IF(D48&lt;$L$50*K17,'Petroleum Model'!D169,E18)</f>
        <v>#NAME?</v>
      </c>
      <c r="H49" s="64" t="e">
        <f t="shared" ca="1" si="7"/>
        <v>#NAME?</v>
      </c>
      <c r="I49" s="27" t="e">
        <f ca="1">_xll.RiskPertAlt(10%,$L$45,50%,$L$46,90%,$L$47,_xll.RiskCorrmat($U$8:$V$9,1,C18),_xll.RiskStatic($L$46))</f>
        <v>#NAME?</v>
      </c>
    </row>
    <row r="50" spans="2:12" ht="15.75" thickBot="1" x14ac:dyDescent="0.3">
      <c r="B50" s="18">
        <f t="shared" si="8"/>
        <v>2022</v>
      </c>
      <c r="C50" s="63" t="e">
        <f ca="1">_xll.RiskOutput(,C43,6)+$C$44+SUM($G$45:G50)</f>
        <v>#NAME?</v>
      </c>
      <c r="D50" s="63" t="e">
        <f ca="1">_xll.RiskOutput(,D43,6)+N19-C50-E50</f>
        <v>#NAME?</v>
      </c>
      <c r="E50" s="63" t="e">
        <f ca="1">_xll.RiskOutput(,E43,6)+E49+H19-H50</f>
        <v>#NAME?</v>
      </c>
      <c r="G50" s="64" t="e">
        <f ca="1">IF(D49&lt;$L$50*K18,'Petroleum Model'!D170,E19)</f>
        <v>#NAME?</v>
      </c>
      <c r="H50" s="64" t="e">
        <f t="shared" ca="1" si="7"/>
        <v>#NAME?</v>
      </c>
      <c r="I50" s="27" t="e">
        <f ca="1">_xll.RiskPertAlt(10%,$L$45,50%,$L$46,90%,$L$47,_xll.RiskCorrmat($U$8:$V$9,1,C19),_xll.RiskStatic($L$46))</f>
        <v>#NAME?</v>
      </c>
      <c r="K50" t="s">
        <v>136</v>
      </c>
      <c r="L50" s="46">
        <f>Assumptions!C37</f>
        <v>4</v>
      </c>
    </row>
    <row r="51" spans="2:12" ht="15.75" thickTop="1" x14ac:dyDescent="0.25">
      <c r="B51" s="18">
        <f t="shared" si="8"/>
        <v>2023</v>
      </c>
      <c r="C51" s="63" t="e">
        <f ca="1">_xll.RiskOutput(,C43,7)+$C$44+SUM($G$45:G51)</f>
        <v>#NAME?</v>
      </c>
      <c r="D51" s="63" t="e">
        <f ca="1">_xll.RiskOutput(,D43,7)+N20-C51-E51</f>
        <v>#NAME?</v>
      </c>
      <c r="E51" s="63" t="e">
        <f ca="1">_xll.RiskOutput(,E43,7)+E50+H20-H51</f>
        <v>#NAME?</v>
      </c>
      <c r="G51" s="64" t="e">
        <f ca="1">IF(D50&lt;$L$50*K19,'Petroleum Model'!D171,E20)</f>
        <v>#NAME?</v>
      </c>
      <c r="H51" s="64" t="e">
        <f t="shared" ca="1" si="7"/>
        <v>#NAME?</v>
      </c>
      <c r="I51" s="27" t="e">
        <f ca="1">_xll.RiskPertAlt(10%,$L$45,50%,$L$46,90%,$L$47,_xll.RiskCorrmat($U$8:$V$9,1,C20),_xll.RiskStatic($L$46))</f>
        <v>#NAME?</v>
      </c>
    </row>
    <row r="52" spans="2:12" x14ac:dyDescent="0.25">
      <c r="B52" s="18">
        <f t="shared" si="8"/>
        <v>2024</v>
      </c>
      <c r="C52" s="63" t="e">
        <f ca="1">_xll.RiskOutput(,C43,8)+$C$44+SUM($G$45:G52)</f>
        <v>#NAME?</v>
      </c>
      <c r="D52" s="63" t="e">
        <f ca="1">_xll.RiskOutput(,D43,8)+N21-C52-E52</f>
        <v>#NAME?</v>
      </c>
      <c r="E52" s="63" t="e">
        <f ca="1">_xll.RiskOutput(,E43,8)+E51+H21-H52</f>
        <v>#NAME?</v>
      </c>
      <c r="G52" s="64" t="e">
        <f ca="1">IF(D51&lt;$L$50*K20,'Petroleum Model'!D172,E21)</f>
        <v>#NAME?</v>
      </c>
      <c r="H52" s="64" t="e">
        <f t="shared" ca="1" si="7"/>
        <v>#NAME?</v>
      </c>
      <c r="I52" s="27" t="e">
        <f ca="1">_xll.RiskPertAlt(10%,$L$45,50%,$L$46,90%,$L$47,_xll.RiskCorrmat($U$8:$V$9,1,C21),_xll.RiskStatic($L$46))</f>
        <v>#NAME?</v>
      </c>
    </row>
    <row r="53" spans="2:12" x14ac:dyDescent="0.25">
      <c r="B53" s="18">
        <f t="shared" si="8"/>
        <v>2025</v>
      </c>
      <c r="C53" s="63" t="e">
        <f ca="1">_xll.RiskOutput(,C43,9)+$C$44+SUM($G$45:G53)</f>
        <v>#NAME?</v>
      </c>
      <c r="D53" s="63" t="e">
        <f ca="1">_xll.RiskOutput(,D43,9)+N22-C53-E53</f>
        <v>#NAME?</v>
      </c>
      <c r="E53" s="63" t="e">
        <f ca="1">_xll.RiskOutput(,E43,9)+E52+H22-H53</f>
        <v>#NAME?</v>
      </c>
      <c r="G53" s="64" t="e">
        <f ca="1">IF(D52&lt;$L$50*K21,'Petroleum Model'!D173,E22)</f>
        <v>#NAME?</v>
      </c>
      <c r="H53" s="64" t="e">
        <f t="shared" ca="1" si="7"/>
        <v>#NAME?</v>
      </c>
      <c r="I53" s="27" t="e">
        <f ca="1">_xll.RiskPertAlt(10%,$L$45,50%,$L$46,90%,$L$47,_xll.RiskCorrmat($U$8:$V$9,1,C22),_xll.RiskStatic($L$46))</f>
        <v>#NAME?</v>
      </c>
    </row>
    <row r="54" spans="2:12" x14ac:dyDescent="0.25">
      <c r="B54" s="18">
        <f t="shared" si="8"/>
        <v>2026</v>
      </c>
      <c r="C54" s="63" t="e">
        <f ca="1">_xll.RiskOutput(,C43,10)+$C$44+SUM($G$45:G54)</f>
        <v>#NAME?</v>
      </c>
      <c r="D54" s="63" t="e">
        <f ca="1">_xll.RiskOutput(,D43,10)+N23-C54-E54</f>
        <v>#NAME?</v>
      </c>
      <c r="E54" s="63" t="e">
        <f ca="1">_xll.RiskOutput(,E43,10)+E53+H23-H54</f>
        <v>#NAME?</v>
      </c>
      <c r="G54" s="64" t="e">
        <f ca="1">IF(D53&lt;$L$50*K22,'Petroleum Model'!D174,E23)</f>
        <v>#NAME?</v>
      </c>
      <c r="H54" s="64" t="e">
        <f t="shared" ca="1" si="7"/>
        <v>#NAME?</v>
      </c>
      <c r="I54" s="27" t="e">
        <f ca="1">_xll.RiskPertAlt(10%,$L$45,50%,$L$46,90%,$L$47,_xll.RiskCorrmat($U$8:$V$9,1,C23),_xll.RiskStatic($L$46))</f>
        <v>#NAME?</v>
      </c>
    </row>
    <row r="55" spans="2:12" x14ac:dyDescent="0.25">
      <c r="B55" s="18">
        <f t="shared" si="8"/>
        <v>2027</v>
      </c>
      <c r="C55" s="63" t="e">
        <f ca="1">_xll.RiskOutput(,C43,11)+$C$44+SUM($G$45:G55)</f>
        <v>#NAME?</v>
      </c>
      <c r="D55" s="63" t="e">
        <f ca="1">_xll.RiskOutput(,D43,11)+N24-C55-E55</f>
        <v>#NAME?</v>
      </c>
      <c r="E55" s="63" t="e">
        <f ca="1">_xll.RiskOutput(,E43,11)+E54+H24-H55</f>
        <v>#NAME?</v>
      </c>
      <c r="G55" s="64" t="e">
        <f ca="1">IF(D54&lt;$L$50*K23,'Petroleum Model'!D175,E24)</f>
        <v>#NAME?</v>
      </c>
      <c r="H55" s="64" t="e">
        <f t="shared" ca="1" si="7"/>
        <v>#NAME?</v>
      </c>
      <c r="I55" s="27" t="e">
        <f ca="1">_xll.RiskPertAlt(10%,$L$45,50%,$L$46,90%,$L$47,_xll.RiskCorrmat($U$8:$V$9,1,C24),_xll.RiskStatic($L$46))</f>
        <v>#NAME?</v>
      </c>
    </row>
    <row r="56" spans="2:12" x14ac:dyDescent="0.25">
      <c r="B56" s="18">
        <f t="shared" si="8"/>
        <v>2028</v>
      </c>
      <c r="C56" s="63" t="e">
        <f ca="1">_xll.RiskOutput(,C43,12)+$C$44+SUM($G$45:G56)</f>
        <v>#NAME?</v>
      </c>
      <c r="D56" s="63" t="e">
        <f ca="1">_xll.RiskOutput(,D43,12)+N25-C56-E56</f>
        <v>#NAME?</v>
      </c>
      <c r="E56" s="63" t="e">
        <f ca="1">_xll.RiskOutput(,E43,12)+E55+H25-H56</f>
        <v>#NAME?</v>
      </c>
      <c r="G56" s="64" t="e">
        <f ca="1">IF(D55&lt;$L$50*K24,'Petroleum Model'!D176,E25)</f>
        <v>#NAME?</v>
      </c>
      <c r="H56" s="64" t="e">
        <f t="shared" ca="1" si="7"/>
        <v>#NAME?</v>
      </c>
      <c r="I56" s="27" t="e">
        <f ca="1">_xll.RiskPertAlt(10%,$L$45,50%,$L$46,90%,$L$47,_xll.RiskCorrmat($U$8:$V$9,1,C25),_xll.RiskStatic($L$46))</f>
        <v>#NAME?</v>
      </c>
    </row>
    <row r="57" spans="2:12" x14ac:dyDescent="0.25">
      <c r="B57" s="18">
        <f t="shared" si="8"/>
        <v>2029</v>
      </c>
      <c r="C57" s="63" t="e">
        <f ca="1">_xll.RiskOutput(,C43,13)+$C$44+SUM($G$45:G57)</f>
        <v>#NAME?</v>
      </c>
      <c r="D57" s="63" t="e">
        <f ca="1">_xll.RiskOutput(,D43,13)+N26-C57-E57</f>
        <v>#NAME?</v>
      </c>
      <c r="E57" s="63" t="e">
        <f ca="1">_xll.RiskOutput(,E43,13)+E56+H26-H57</f>
        <v>#NAME?</v>
      </c>
      <c r="G57" s="64" t="e">
        <f ca="1">IF(D56&lt;$L$50*K25,'Petroleum Model'!D177,E26)</f>
        <v>#NAME?</v>
      </c>
      <c r="H57" s="64" t="e">
        <f t="shared" ca="1" si="7"/>
        <v>#NAME?</v>
      </c>
      <c r="I57" s="27" t="e">
        <f ca="1">_xll.RiskPertAlt(10%,$L$45,50%,$L$46,90%,$L$47,_xll.RiskCorrmat($U$8:$V$9,1,C26),_xll.RiskStatic($L$46))</f>
        <v>#NAME?</v>
      </c>
    </row>
    <row r="58" spans="2:12" x14ac:dyDescent="0.25">
      <c r="B58" s="18">
        <f t="shared" si="8"/>
        <v>2030</v>
      </c>
      <c r="C58" s="63" t="e">
        <f ca="1">_xll.RiskOutput(,C43,14)+$C$44+SUM($G$45:G58)</f>
        <v>#NAME?</v>
      </c>
      <c r="D58" s="63" t="e">
        <f ca="1">_xll.RiskOutput(,D43,14)+N27-C58-E58</f>
        <v>#NAME?</v>
      </c>
      <c r="E58" s="63" t="e">
        <f ca="1">_xll.RiskOutput(,E43,14)+E57+H27-H58</f>
        <v>#NAME?</v>
      </c>
      <c r="G58" s="64" t="e">
        <f ca="1">IF(D57&lt;$L$50*K26,'Petroleum Model'!D178,E27)</f>
        <v>#NAME?</v>
      </c>
      <c r="H58" s="64" t="e">
        <f t="shared" ca="1" si="7"/>
        <v>#NAME?</v>
      </c>
      <c r="I58" s="27" t="e">
        <f ca="1">_xll.RiskPertAlt(10%,$L$45,50%,$L$46,90%,$L$47,_xll.RiskCorrmat($U$8:$V$9,1,C27),_xll.RiskStatic($L$46))</f>
        <v>#NAME?</v>
      </c>
    </row>
    <row r="59" spans="2:12" x14ac:dyDescent="0.25">
      <c r="B59" s="18">
        <f t="shared" si="8"/>
        <v>2031</v>
      </c>
      <c r="C59" s="63" t="e">
        <f ca="1">_xll.RiskOutput(,C43,15)+$C$44+SUM($G$45:G59)</f>
        <v>#NAME?</v>
      </c>
      <c r="D59" s="63" t="e">
        <f ca="1">_xll.RiskOutput(,D43,15)+N28-C59-E59</f>
        <v>#NAME?</v>
      </c>
      <c r="E59" s="63" t="e">
        <f ca="1">_xll.RiskOutput(,E43,15)+E58+H28-H59</f>
        <v>#NAME?</v>
      </c>
      <c r="G59" s="64" t="e">
        <f ca="1">IF(D58&lt;$L$50*K27,'Petroleum Model'!D179,E28)</f>
        <v>#NAME?</v>
      </c>
      <c r="H59" s="64" t="e">
        <f t="shared" ca="1" si="7"/>
        <v>#NAME?</v>
      </c>
      <c r="I59" s="27" t="e">
        <f ca="1">_xll.RiskPertAlt(10%,$L$45,50%,$L$46,90%,$L$47,_xll.RiskCorrmat($U$8:$V$9,1,C28),_xll.RiskStatic($L$46))</f>
        <v>#NAME?</v>
      </c>
    </row>
    <row r="60" spans="2:12" x14ac:dyDescent="0.25">
      <c r="B60" s="18">
        <f t="shared" si="8"/>
        <v>2032</v>
      </c>
      <c r="C60" s="63" t="e">
        <f ca="1">_xll.RiskOutput(,C43,16)+$C$44+SUM($G$45:G60)</f>
        <v>#NAME?</v>
      </c>
      <c r="D60" s="63" t="e">
        <f ca="1">_xll.RiskOutput(,D43,16)+N29-C60-E60</f>
        <v>#NAME?</v>
      </c>
      <c r="E60" s="63" t="e">
        <f ca="1">_xll.RiskOutput(,E43,16)+E59+H29-H60</f>
        <v>#NAME?</v>
      </c>
      <c r="G60" s="64" t="e">
        <f ca="1">IF(D59&lt;$L$50*K28,'Petroleum Model'!D180,E29)</f>
        <v>#NAME?</v>
      </c>
      <c r="H60" s="64" t="e">
        <f t="shared" ca="1" si="7"/>
        <v>#NAME?</v>
      </c>
      <c r="I60" s="27" t="e">
        <f ca="1">_xll.RiskPertAlt(10%,$L$45,50%,$L$46,90%,$L$47,_xll.RiskCorrmat($U$8:$V$9,1,C29),_xll.RiskStatic($L$46))</f>
        <v>#NAME?</v>
      </c>
    </row>
    <row r="61" spans="2:12" x14ac:dyDescent="0.25">
      <c r="B61" s="18">
        <f t="shared" si="8"/>
        <v>2033</v>
      </c>
      <c r="C61" s="63" t="e">
        <f ca="1">_xll.RiskOutput(,C43,17)+$C$44+SUM($G$45:G61)</f>
        <v>#NAME?</v>
      </c>
      <c r="D61" s="63" t="e">
        <f ca="1">_xll.RiskOutput(,D43,17)+N30-C61-E61</f>
        <v>#NAME?</v>
      </c>
      <c r="E61" s="63" t="e">
        <f ca="1">_xll.RiskOutput(,E43,17)+E60+H30-H61</f>
        <v>#NAME?</v>
      </c>
      <c r="G61" s="64" t="e">
        <f ca="1">IF(D60&lt;$L$50*K29,'Petroleum Model'!D181,E30)</f>
        <v>#NAME?</v>
      </c>
      <c r="H61" s="64" t="e">
        <f t="shared" ca="1" si="7"/>
        <v>#NAME?</v>
      </c>
      <c r="I61" s="27" t="e">
        <f ca="1">_xll.RiskPertAlt(10%,$L$45,50%,$L$46,90%,$L$47,_xll.RiskCorrmat($U$8:$V$9,1,C30),_xll.RiskStatic($L$46))</f>
        <v>#NAME?</v>
      </c>
    </row>
    <row r="62" spans="2:12" x14ac:dyDescent="0.25">
      <c r="B62" s="18">
        <f t="shared" si="8"/>
        <v>2034</v>
      </c>
      <c r="C62" s="63" t="e">
        <f ca="1">_xll.RiskOutput(,C43,18)+$C$44+SUM($G$45:G62)</f>
        <v>#NAME?</v>
      </c>
      <c r="D62" s="63" t="e">
        <f ca="1">_xll.RiskOutput(,D43,18)+N31-C62-E62</f>
        <v>#NAME?</v>
      </c>
      <c r="E62" s="63" t="e">
        <f ca="1">_xll.RiskOutput(,E43,18)+E61+H31-H62</f>
        <v>#NAME?</v>
      </c>
      <c r="G62" s="64" t="e">
        <f ca="1">IF(D61&lt;$L$50*K30,'Petroleum Model'!D182,E31)</f>
        <v>#NAME?</v>
      </c>
      <c r="H62" s="64" t="e">
        <f t="shared" ca="1" si="7"/>
        <v>#NAME?</v>
      </c>
      <c r="I62" s="27" t="e">
        <f ca="1">_xll.RiskPertAlt(10%,$L$45,50%,$L$46,90%,$L$47,_xll.RiskCorrmat($U$8:$V$9,1,C31),_xll.RiskStatic($L$46))</f>
        <v>#NAME?</v>
      </c>
    </row>
    <row r="63" spans="2:12" x14ac:dyDescent="0.25">
      <c r="B63" s="18">
        <f t="shared" si="8"/>
        <v>2035</v>
      </c>
      <c r="C63" s="63" t="e">
        <f ca="1">_xll.RiskOutput(,C43,19)+$C$44+SUM($G$45:G63)</f>
        <v>#NAME?</v>
      </c>
      <c r="D63" s="63" t="e">
        <f ca="1">_xll.RiskOutput(,D43,19)+N32-C63-E63</f>
        <v>#NAME?</v>
      </c>
      <c r="E63" s="63" t="e">
        <f ca="1">_xll.RiskOutput(,E43,19)+E62+H32-H63</f>
        <v>#NAME?</v>
      </c>
      <c r="G63" s="64" t="e">
        <f ca="1">IF(D62&lt;$L$50*K31,'Petroleum Model'!D183,E32)</f>
        <v>#NAME?</v>
      </c>
      <c r="H63" s="64" t="e">
        <f t="shared" ca="1" si="7"/>
        <v>#NAME?</v>
      </c>
      <c r="I63" s="27" t="e">
        <f ca="1">_xll.RiskPertAlt(10%,$L$45,50%,$L$46,90%,$L$47,_xll.RiskCorrmat($U$8:$V$9,1,C32),_xll.RiskStatic($L$46))</f>
        <v>#NAME?</v>
      </c>
    </row>
    <row r="64" spans="2:12" x14ac:dyDescent="0.25">
      <c r="B64" s="18">
        <f t="shared" si="8"/>
        <v>2036</v>
      </c>
      <c r="C64" s="63" t="e">
        <f ca="1">_xll.RiskOutput(,C43,20)+$C$44+SUM($G$45:G64)</f>
        <v>#NAME?</v>
      </c>
      <c r="D64" s="63" t="e">
        <f ca="1">_xll.RiskOutput(,D43,20)+N33-C64-E64</f>
        <v>#NAME?</v>
      </c>
      <c r="E64" s="63" t="e">
        <f ca="1">_xll.RiskOutput(,E43,20)+E63+H33-H64</f>
        <v>#NAME?</v>
      </c>
      <c r="G64" s="64" t="e">
        <f ca="1">IF(D63&lt;$L$50*K32,'Petroleum Model'!D184,E33)</f>
        <v>#NAME?</v>
      </c>
      <c r="H64" s="64" t="e">
        <f t="shared" ca="1" si="7"/>
        <v>#NAME?</v>
      </c>
      <c r="I64" s="27" t="e">
        <f ca="1">_xll.RiskPertAlt(10%,$L$45,50%,$L$46,90%,$L$47,_xll.RiskCorrmat($U$8:$V$9,1,C33),_xll.RiskStatic($L$46))</f>
        <v>#NAME?</v>
      </c>
    </row>
    <row r="65" spans="2:9" x14ac:dyDescent="0.25">
      <c r="B65" s="18">
        <f t="shared" si="8"/>
        <v>2037</v>
      </c>
      <c r="C65" s="63" t="e">
        <f ca="1">_xll.RiskOutput(,C43,21)+$C$44+SUM($G$45:G65)</f>
        <v>#NAME?</v>
      </c>
      <c r="D65" s="63" t="e">
        <f ca="1">_xll.RiskOutput(,D43,21)+N34-C65-E65</f>
        <v>#NAME?</v>
      </c>
      <c r="E65" s="63" t="e">
        <f ca="1">_xll.RiskOutput(,E43,21)+E64+H34-H65</f>
        <v>#NAME?</v>
      </c>
      <c r="G65" s="64" t="e">
        <f ca="1">IF(D64&lt;$L$50*K33,'Petroleum Model'!D185,E34)</f>
        <v>#NAME?</v>
      </c>
      <c r="H65" s="64" t="e">
        <f t="shared" ca="1" si="7"/>
        <v>#NAME?</v>
      </c>
      <c r="I65" s="27" t="e">
        <f ca="1">_xll.RiskPertAlt(10%,$L$45,50%,$L$46,90%,$L$47,_xll.RiskCorrmat($U$8:$V$9,1,C34),_xll.RiskStatic($L$46))</f>
        <v>#NAME?</v>
      </c>
    </row>
    <row r="66" spans="2:9" x14ac:dyDescent="0.25">
      <c r="B66" s="18">
        <f t="shared" si="8"/>
        <v>2038</v>
      </c>
      <c r="C66" s="63" t="e">
        <f ca="1">_xll.RiskOutput(,C43,22)+$C$44+SUM($G$45:G66)</f>
        <v>#NAME?</v>
      </c>
      <c r="D66" s="63" t="e">
        <f ca="1">_xll.RiskOutput(,D43,22)+N35-C66-E66</f>
        <v>#NAME?</v>
      </c>
      <c r="E66" s="63" t="e">
        <f ca="1">_xll.RiskOutput(,E43,22)+E65+H35-H66</f>
        <v>#NAME?</v>
      </c>
      <c r="G66" s="64" t="e">
        <f ca="1">IF(D65&lt;$L$50*K34,'Petroleum Model'!D186,E35)</f>
        <v>#NAME?</v>
      </c>
      <c r="H66" s="64" t="e">
        <f t="shared" ca="1" si="7"/>
        <v>#NAME?</v>
      </c>
      <c r="I66" s="27" t="e">
        <f ca="1">_xll.RiskPertAlt(10%,$L$45,50%,$L$46,90%,$L$47,_xll.RiskCorrmat($U$8:$V$9,1,C35),_xll.RiskStatic($L$46))</f>
        <v>#NAME?</v>
      </c>
    </row>
    <row r="67" spans="2:9" x14ac:dyDescent="0.25">
      <c r="B67" s="18">
        <f t="shared" si="8"/>
        <v>2039</v>
      </c>
      <c r="C67" s="63" t="e">
        <f ca="1">_xll.RiskOutput(,C43,23)+$C$44+SUM($G$45:G67)</f>
        <v>#NAME?</v>
      </c>
      <c r="D67" s="63" t="e">
        <f ca="1">_xll.RiskOutput(,D43,23)+N36-C67-E67</f>
        <v>#NAME?</v>
      </c>
      <c r="E67" s="63" t="e">
        <f ca="1">_xll.RiskOutput(,E43,23)+E66+H36-H67</f>
        <v>#NAME?</v>
      </c>
      <c r="G67" s="64" t="e">
        <f ca="1">IF(D66&lt;$L$50*K35,'Petroleum Model'!D187,E36)</f>
        <v>#NAME?</v>
      </c>
      <c r="H67" s="64" t="e">
        <f t="shared" ca="1" si="7"/>
        <v>#NAME?</v>
      </c>
      <c r="I67" s="27" t="e">
        <f ca="1">_xll.RiskPertAlt(10%,$L$45,50%,$L$46,90%,$L$47,_xll.RiskCorrmat($U$8:$V$9,1,C36),_xll.RiskStatic($L$46))</f>
        <v>#NAME?</v>
      </c>
    </row>
    <row r="68" spans="2:9" x14ac:dyDescent="0.25">
      <c r="B68" s="18">
        <f t="shared" si="8"/>
        <v>2040</v>
      </c>
      <c r="C68" s="63" t="e">
        <f ca="1">_xll.RiskOutput(,C43,24)+$C$44+SUM($G$45:G68)</f>
        <v>#NAME?</v>
      </c>
      <c r="D68" s="63" t="e">
        <f ca="1">_xll.RiskOutput(,D43,24)+N37-C68-E68</f>
        <v>#NAME?</v>
      </c>
      <c r="E68" s="63" t="e">
        <f ca="1">_xll.RiskOutput(,E43,24)+E67+H37-H68</f>
        <v>#NAME?</v>
      </c>
      <c r="G68" s="64" t="e">
        <f ca="1">IF(D67&lt;$L$50*K36,'Petroleum Model'!D188,E37)</f>
        <v>#NAME?</v>
      </c>
      <c r="H68" s="64" t="e">
        <f t="shared" ca="1" si="7"/>
        <v>#NAME?</v>
      </c>
      <c r="I68" s="27" t="e">
        <f ca="1">_xll.RiskPertAlt(10%,$L$45,50%,$L$46,90%,$L$47,_xll.RiskCorrmat($U$8:$V$9,1,C37),_xll.RiskStatic($L$46))</f>
        <v>#NAME?</v>
      </c>
    </row>
    <row r="70" spans="2:9" x14ac:dyDescent="0.25">
      <c r="B70" s="5" t="s">
        <v>316</v>
      </c>
    </row>
    <row r="71" spans="2:9" ht="30" x14ac:dyDescent="0.25">
      <c r="B71" s="10"/>
      <c r="C71" s="291" t="s">
        <v>133</v>
      </c>
      <c r="D71" s="290" t="s">
        <v>132</v>
      </c>
      <c r="E71" s="291" t="s">
        <v>130</v>
      </c>
      <c r="F71" s="292" t="s">
        <v>131</v>
      </c>
      <c r="G71" s="290" t="s">
        <v>134</v>
      </c>
      <c r="H71" s="290" t="s">
        <v>132</v>
      </c>
    </row>
    <row r="72" spans="2:9" x14ac:dyDescent="0.25">
      <c r="B72" s="17" t="s">
        <v>135</v>
      </c>
      <c r="C72" s="18" t="e">
        <f ca="1">_xll.RiskOutput()+IF(MIN(D45:D68)&lt;0,1,0)</f>
        <v>#NAME?</v>
      </c>
      <c r="D72" s="294" t="e">
        <f ca="1">_xll.RiskMean(C72,_xll.RiskStatic(NA()))</f>
        <v>#NAME?</v>
      </c>
      <c r="E72" s="276" t="e">
        <f ca="1">MIN($D$45:D68)</f>
        <v>#NAME?</v>
      </c>
      <c r="F72" s="294" t="e">
        <f ca="1">_xll.RiskTarget(E72,0,_xll.RiskStatic(NA()))</f>
        <v>#NAME?</v>
      </c>
      <c r="G72" s="289"/>
      <c r="H72" s="289"/>
    </row>
    <row r="73" spans="2:9" x14ac:dyDescent="0.25">
      <c r="B73" s="18">
        <f t="shared" ref="B73:B96" si="9">B14</f>
        <v>2017</v>
      </c>
      <c r="C73" s="18" t="e">
        <f ca="1">_xll.RiskOutput()+IF(MIN($D$45:D45)&lt;0,1,0)</f>
        <v>#NAME?</v>
      </c>
      <c r="D73" s="294" t="e">
        <f ca="1">_xll.RiskMean(C73,_xll.RiskStatic(NA()))</f>
        <v>#NAME?</v>
      </c>
      <c r="E73" s="276" t="e">
        <f ca="1">MIN($D$45:D45)</f>
        <v>#NAME?</v>
      </c>
      <c r="F73" s="294" t="e">
        <f ca="1">_xll.RiskTarget(E73,0,_xll.RiskStatic(NA()))</f>
        <v>#NAME?</v>
      </c>
      <c r="G73" s="18" t="e">
        <f ca="1">_xll.RiskOutput(,G71,1)+(L14&gt;H45+(E14-G45))</f>
        <v>#NAME?</v>
      </c>
      <c r="H73" s="293" t="e">
        <f ca="1">_xll.RiskMean(G73,_xll.RiskStatic(NA()))</f>
        <v>#NAME?</v>
      </c>
    </row>
    <row r="74" spans="2:9" x14ac:dyDescent="0.25">
      <c r="B74" s="18">
        <f t="shared" si="9"/>
        <v>2018</v>
      </c>
      <c r="C74" s="18" t="e">
        <f ca="1">_xll.RiskOutput()+IF(MIN($D$45:D46)&lt;0,1,0)</f>
        <v>#NAME?</v>
      </c>
      <c r="D74" s="294" t="e">
        <f ca="1">_xll.RiskMean(C74,_xll.RiskStatic(NA()))</f>
        <v>#NAME?</v>
      </c>
      <c r="E74" s="276" t="e">
        <f ca="1">MIN($D$45:D46)</f>
        <v>#NAME?</v>
      </c>
      <c r="F74" s="294" t="e">
        <f ca="1">_xll.RiskTarget(E74,0,_xll.RiskStatic(NA()))</f>
        <v>#NAME?</v>
      </c>
      <c r="G74" s="18" t="e">
        <f ca="1">_xll.RiskOutput(,G71,2)+(L15&gt;H46+(E15-G46))</f>
        <v>#NAME?</v>
      </c>
      <c r="H74" s="293" t="e">
        <f ca="1">_xll.RiskMean(G74,_xll.RiskStatic(NA()))</f>
        <v>#NAME?</v>
      </c>
    </row>
    <row r="75" spans="2:9" x14ac:dyDescent="0.25">
      <c r="B75" s="18">
        <f t="shared" si="9"/>
        <v>2019</v>
      </c>
      <c r="C75" s="18" t="e">
        <f ca="1">_xll.RiskOutput()+IF(MIN($D$45:D47)&lt;0,1,0)</f>
        <v>#NAME?</v>
      </c>
      <c r="D75" s="294" t="e">
        <f ca="1">_xll.RiskMean(C75,_xll.RiskStatic(NA()))</f>
        <v>#NAME?</v>
      </c>
      <c r="E75" s="276" t="e">
        <f ca="1">MIN($D$45:D47)</f>
        <v>#NAME?</v>
      </c>
      <c r="F75" s="294" t="e">
        <f ca="1">_xll.RiskTarget(E75,0,_xll.RiskStatic(NA()))</f>
        <v>#NAME?</v>
      </c>
      <c r="G75" s="18" t="e">
        <f ca="1">_xll.RiskOutput(,G71,3)+(L16&gt;H47+(E16-G47))</f>
        <v>#NAME?</v>
      </c>
      <c r="H75" s="293" t="e">
        <f ca="1">_xll.RiskMean(G75,_xll.RiskStatic(NA()))</f>
        <v>#NAME?</v>
      </c>
    </row>
    <row r="76" spans="2:9" x14ac:dyDescent="0.25">
      <c r="B76" s="18">
        <f t="shared" si="9"/>
        <v>2020</v>
      </c>
      <c r="C76" s="18" t="e">
        <f ca="1">_xll.RiskOutput()+IF(MIN($D$45:D48)&lt;0,1,0)</f>
        <v>#NAME?</v>
      </c>
      <c r="D76" s="294" t="e">
        <f ca="1">_xll.RiskMean(C76,_xll.RiskStatic(NA()))</f>
        <v>#NAME?</v>
      </c>
      <c r="E76" s="276" t="e">
        <f ca="1">MIN($D$45:D48)</f>
        <v>#NAME?</v>
      </c>
      <c r="F76" s="294" t="e">
        <f ca="1">_xll.RiskTarget(E76,0,_xll.RiskStatic(NA()))</f>
        <v>#NAME?</v>
      </c>
      <c r="G76" s="18" t="e">
        <f ca="1">_xll.RiskOutput(,G71,4)+(L17&gt;H48+(E17-G48))</f>
        <v>#NAME?</v>
      </c>
      <c r="H76" s="293" t="e">
        <f ca="1">_xll.RiskMean(G76,_xll.RiskStatic(NA()))</f>
        <v>#NAME?</v>
      </c>
    </row>
    <row r="77" spans="2:9" x14ac:dyDescent="0.25">
      <c r="B77" s="18">
        <f t="shared" si="9"/>
        <v>2021</v>
      </c>
      <c r="C77" s="18" t="e">
        <f ca="1">_xll.RiskOutput()+IF(MIN($D$45:D49)&lt;0,1,0)</f>
        <v>#NAME?</v>
      </c>
      <c r="D77" s="294" t="e">
        <f ca="1">_xll.RiskMean(C77,_xll.RiskStatic(NA()))</f>
        <v>#NAME?</v>
      </c>
      <c r="E77" s="276" t="e">
        <f ca="1">MIN($D$45:D49)</f>
        <v>#NAME?</v>
      </c>
      <c r="F77" s="294" t="e">
        <f ca="1">_xll.RiskTarget(E77,0,_xll.RiskStatic(NA()))</f>
        <v>#NAME?</v>
      </c>
      <c r="G77" s="18" t="e">
        <f ca="1">_xll.RiskOutput(,G71,5)+(L18&gt;H49+(E18-G49))</f>
        <v>#NAME?</v>
      </c>
      <c r="H77" s="293" t="e">
        <f ca="1">_xll.RiskMean(G77,_xll.RiskStatic(NA()))</f>
        <v>#NAME?</v>
      </c>
    </row>
    <row r="78" spans="2:9" x14ac:dyDescent="0.25">
      <c r="B78" s="18">
        <f t="shared" si="9"/>
        <v>2022</v>
      </c>
      <c r="C78" s="18" t="e">
        <f ca="1">_xll.RiskOutput()+IF(MIN($D$45:D50)&lt;0,1,0)</f>
        <v>#NAME?</v>
      </c>
      <c r="D78" s="294" t="e">
        <f ca="1">_xll.RiskMean(C78,_xll.RiskStatic(NA()))</f>
        <v>#NAME?</v>
      </c>
      <c r="E78" s="276" t="e">
        <f ca="1">MIN($D$45:D50)</f>
        <v>#NAME?</v>
      </c>
      <c r="F78" s="294" t="e">
        <f ca="1">_xll.RiskTarget(E78,0,_xll.RiskStatic(NA()))</f>
        <v>#NAME?</v>
      </c>
      <c r="G78" s="18" t="e">
        <f ca="1">_xll.RiskOutput(,G71,6)+(L19&gt;H50+(E19-G50))</f>
        <v>#NAME?</v>
      </c>
      <c r="H78" s="293" t="e">
        <f ca="1">_xll.RiskMean(G78,_xll.RiskStatic(NA()))</f>
        <v>#NAME?</v>
      </c>
    </row>
    <row r="79" spans="2:9" x14ac:dyDescent="0.25">
      <c r="B79" s="18">
        <f t="shared" si="9"/>
        <v>2023</v>
      </c>
      <c r="C79" s="18" t="e">
        <f ca="1">_xll.RiskOutput()+IF(MIN($D$45:D51)&lt;0,1,0)</f>
        <v>#NAME?</v>
      </c>
      <c r="D79" s="294" t="e">
        <f ca="1">_xll.RiskMean(C79,_xll.RiskStatic(NA()))</f>
        <v>#NAME?</v>
      </c>
      <c r="E79" s="276" t="e">
        <f ca="1">MIN($D$45:D51)</f>
        <v>#NAME?</v>
      </c>
      <c r="F79" s="294" t="e">
        <f ca="1">_xll.RiskTarget(E79,0,_xll.RiskStatic(NA()))</f>
        <v>#NAME?</v>
      </c>
      <c r="G79" s="18" t="e">
        <f ca="1">_xll.RiskOutput(,G71,7)+(L20&gt;H51+(E20-G51))</f>
        <v>#NAME?</v>
      </c>
      <c r="H79" s="293" t="e">
        <f ca="1">_xll.RiskMean(G79,_xll.RiskStatic(NA()))</f>
        <v>#NAME?</v>
      </c>
    </row>
    <row r="80" spans="2:9" x14ac:dyDescent="0.25">
      <c r="B80" s="18">
        <f t="shared" si="9"/>
        <v>2024</v>
      </c>
      <c r="C80" s="18" t="e">
        <f ca="1">_xll.RiskOutput()+IF(MIN($D$45:D52)&lt;0,1,0)</f>
        <v>#NAME?</v>
      </c>
      <c r="D80" s="294" t="e">
        <f ca="1">_xll.RiskMean(C80,_xll.RiskStatic(NA()))</f>
        <v>#NAME?</v>
      </c>
      <c r="E80" s="276" t="e">
        <f ca="1">MIN($D$45:D52)</f>
        <v>#NAME?</v>
      </c>
      <c r="F80" s="294" t="e">
        <f ca="1">_xll.RiskTarget(E80,0,_xll.RiskStatic(NA()))</f>
        <v>#NAME?</v>
      </c>
      <c r="G80" s="18" t="e">
        <f ca="1">_xll.RiskOutput(,G71,8)+(L21&gt;H52+(E21-G52))</f>
        <v>#NAME?</v>
      </c>
      <c r="H80" s="293" t="e">
        <f ca="1">_xll.RiskMean(G80,_xll.RiskStatic(NA()))</f>
        <v>#NAME?</v>
      </c>
    </row>
    <row r="81" spans="2:8" x14ac:dyDescent="0.25">
      <c r="B81" s="18">
        <f t="shared" si="9"/>
        <v>2025</v>
      </c>
      <c r="C81" s="18" t="e">
        <f ca="1">_xll.RiskOutput()+IF(MIN($D$45:D53)&lt;0,1,0)</f>
        <v>#NAME?</v>
      </c>
      <c r="D81" s="294" t="e">
        <f ca="1">_xll.RiskMean(C81,_xll.RiskStatic(NA()))</f>
        <v>#NAME?</v>
      </c>
      <c r="E81" s="276" t="e">
        <f ca="1">MIN($D$45:D53)</f>
        <v>#NAME?</v>
      </c>
      <c r="F81" s="294" t="e">
        <f ca="1">_xll.RiskTarget(E81,0,_xll.RiskStatic(NA()))</f>
        <v>#NAME?</v>
      </c>
      <c r="G81" s="18" t="e">
        <f ca="1">_xll.RiskOutput(,G71,9)+(L22&gt;H53+(E22-G53))</f>
        <v>#NAME?</v>
      </c>
      <c r="H81" s="293" t="e">
        <f ca="1">_xll.RiskMean(G81,_xll.RiskStatic(NA()))</f>
        <v>#NAME?</v>
      </c>
    </row>
    <row r="82" spans="2:8" x14ac:dyDescent="0.25">
      <c r="B82" s="18">
        <f t="shared" si="9"/>
        <v>2026</v>
      </c>
      <c r="C82" s="18" t="e">
        <f ca="1">_xll.RiskOutput()+IF(MIN($D$45:D54)&lt;0,1,0)</f>
        <v>#NAME?</v>
      </c>
      <c r="D82" s="294" t="e">
        <f ca="1">_xll.RiskMean(C82,_xll.RiskStatic(NA()))</f>
        <v>#NAME?</v>
      </c>
      <c r="E82" s="276" t="e">
        <f ca="1">MIN($D$45:D54)</f>
        <v>#NAME?</v>
      </c>
      <c r="F82" s="294" t="e">
        <f ca="1">_xll.RiskTarget(E82,0,_xll.RiskStatic(NA()))</f>
        <v>#NAME?</v>
      </c>
      <c r="G82" s="18" t="e">
        <f ca="1">_xll.RiskOutput(,G71,10)+(L23&gt;H54+(E23-G54))</f>
        <v>#NAME?</v>
      </c>
      <c r="H82" s="293" t="e">
        <f ca="1">_xll.RiskMean(G82,_xll.RiskStatic(NA()))</f>
        <v>#NAME?</v>
      </c>
    </row>
    <row r="83" spans="2:8" x14ac:dyDescent="0.25">
      <c r="B83" s="18">
        <f t="shared" si="9"/>
        <v>2027</v>
      </c>
      <c r="C83" s="18" t="e">
        <f ca="1">_xll.RiskOutput()+IF(MIN($D$45:D55)&lt;0,1,0)</f>
        <v>#NAME?</v>
      </c>
      <c r="D83" s="294" t="e">
        <f ca="1">_xll.RiskMean(C83,_xll.RiskStatic(NA()))</f>
        <v>#NAME?</v>
      </c>
      <c r="E83" s="276" t="e">
        <f ca="1">MIN($D$45:D55)</f>
        <v>#NAME?</v>
      </c>
      <c r="F83" s="294" t="e">
        <f ca="1">_xll.RiskTarget(E83,0,_xll.RiskStatic(NA()))</f>
        <v>#NAME?</v>
      </c>
      <c r="G83" s="18" t="e">
        <f ca="1">_xll.RiskOutput(,G71,11)+(L24&gt;H55+(E24-G55))</f>
        <v>#NAME?</v>
      </c>
      <c r="H83" s="293" t="e">
        <f ca="1">_xll.RiskMean(G83,_xll.RiskStatic(NA()))</f>
        <v>#NAME?</v>
      </c>
    </row>
    <row r="84" spans="2:8" x14ac:dyDescent="0.25">
      <c r="B84" s="18">
        <f t="shared" si="9"/>
        <v>2028</v>
      </c>
      <c r="C84" s="18" t="e">
        <f ca="1">_xll.RiskOutput()+IF(MIN($D$45:D56)&lt;0,1,0)</f>
        <v>#NAME?</v>
      </c>
      <c r="D84" s="294" t="e">
        <f ca="1">_xll.RiskMean(C84,_xll.RiskStatic(NA()))</f>
        <v>#NAME?</v>
      </c>
      <c r="E84" s="276" t="e">
        <f ca="1">MIN($D$45:D56)</f>
        <v>#NAME?</v>
      </c>
      <c r="F84" s="294" t="e">
        <f ca="1">_xll.RiskTarget(E84,0,_xll.RiskStatic(NA()))</f>
        <v>#NAME?</v>
      </c>
      <c r="G84" s="18" t="e">
        <f ca="1">_xll.RiskOutput(,G71,12)+(L25&gt;H56+(E25-G56))</f>
        <v>#NAME?</v>
      </c>
      <c r="H84" s="293" t="e">
        <f ca="1">_xll.RiskMean(G84,_xll.RiskStatic(NA()))</f>
        <v>#NAME?</v>
      </c>
    </row>
    <row r="85" spans="2:8" x14ac:dyDescent="0.25">
      <c r="B85" s="18">
        <f t="shared" si="9"/>
        <v>2029</v>
      </c>
      <c r="C85" s="18" t="e">
        <f ca="1">_xll.RiskOutput()+IF(MIN($D$45:D57)&lt;0,1,0)</f>
        <v>#NAME?</v>
      </c>
      <c r="D85" s="294" t="e">
        <f ca="1">_xll.RiskMean(C85,_xll.RiskStatic(NA()))</f>
        <v>#NAME?</v>
      </c>
      <c r="E85" s="276" t="e">
        <f ca="1">MIN($D$45:D57)</f>
        <v>#NAME?</v>
      </c>
      <c r="F85" s="294" t="e">
        <f ca="1">_xll.RiskTarget(E85,0,_xll.RiskStatic(NA()))</f>
        <v>#NAME?</v>
      </c>
      <c r="G85" s="18" t="e">
        <f ca="1">_xll.RiskOutput(,G71,13)+(L26&gt;H57+(E26-G57))</f>
        <v>#NAME?</v>
      </c>
      <c r="H85" s="293" t="e">
        <f ca="1">_xll.RiskMean(G85,_xll.RiskStatic(NA()))</f>
        <v>#NAME?</v>
      </c>
    </row>
    <row r="86" spans="2:8" x14ac:dyDescent="0.25">
      <c r="B86" s="18">
        <f t="shared" si="9"/>
        <v>2030</v>
      </c>
      <c r="C86" s="18" t="e">
        <f ca="1">_xll.RiskOutput()+IF(MIN($D$45:D58)&lt;0,1,0)</f>
        <v>#NAME?</v>
      </c>
      <c r="D86" s="294" t="e">
        <f ca="1">_xll.RiskMean(C86,_xll.RiskStatic(NA()))</f>
        <v>#NAME?</v>
      </c>
      <c r="E86" s="276" t="e">
        <f ca="1">MIN($D$45:D58)</f>
        <v>#NAME?</v>
      </c>
      <c r="F86" s="294" t="e">
        <f ca="1">_xll.RiskTarget(E86,0,_xll.RiskStatic(NA()))</f>
        <v>#NAME?</v>
      </c>
      <c r="G86" s="18" t="e">
        <f ca="1">_xll.RiskOutput(,G71,14)+(L27&gt;H58+(E27-G58))</f>
        <v>#NAME?</v>
      </c>
      <c r="H86" s="293" t="e">
        <f ca="1">_xll.RiskMean(G86,_xll.RiskStatic(NA()))</f>
        <v>#NAME?</v>
      </c>
    </row>
    <row r="87" spans="2:8" x14ac:dyDescent="0.25">
      <c r="B87" s="18">
        <f t="shared" si="9"/>
        <v>2031</v>
      </c>
      <c r="C87" s="18" t="e">
        <f ca="1">_xll.RiskOutput()+IF(MIN($D$45:D59)&lt;0,1,0)</f>
        <v>#NAME?</v>
      </c>
      <c r="D87" s="294" t="e">
        <f ca="1">_xll.RiskMean(C87,_xll.RiskStatic(NA()))</f>
        <v>#NAME?</v>
      </c>
      <c r="E87" s="276" t="e">
        <f ca="1">MIN($D$45:D59)</f>
        <v>#NAME?</v>
      </c>
      <c r="F87" s="294" t="e">
        <f ca="1">_xll.RiskTarget(E87,0,_xll.RiskStatic(NA()))</f>
        <v>#NAME?</v>
      </c>
      <c r="G87" s="18" t="e">
        <f ca="1">_xll.RiskOutput(,G71,15)+(L28&gt;H59+(E28-G59))</f>
        <v>#NAME?</v>
      </c>
      <c r="H87" s="293" t="e">
        <f ca="1">_xll.RiskMean(G87,_xll.RiskStatic(NA()))</f>
        <v>#NAME?</v>
      </c>
    </row>
    <row r="88" spans="2:8" x14ac:dyDescent="0.25">
      <c r="B88" s="18">
        <f t="shared" si="9"/>
        <v>2032</v>
      </c>
      <c r="C88" s="18" t="e">
        <f ca="1">_xll.RiskOutput()+IF(MIN($D$45:D60)&lt;0,1,0)</f>
        <v>#NAME?</v>
      </c>
      <c r="D88" s="294" t="e">
        <f ca="1">_xll.RiskMean(C88,_xll.RiskStatic(NA()))</f>
        <v>#NAME?</v>
      </c>
      <c r="E88" s="276" t="e">
        <f ca="1">MIN($D$45:D60)</f>
        <v>#NAME?</v>
      </c>
      <c r="F88" s="294" t="e">
        <f ca="1">_xll.RiskTarget(E88,0,_xll.RiskStatic(NA()))</f>
        <v>#NAME?</v>
      </c>
      <c r="G88" s="18" t="e">
        <f ca="1">_xll.RiskOutput(,G71,16)+(L29&gt;H60+(E29-G60))</f>
        <v>#NAME?</v>
      </c>
      <c r="H88" s="293" t="e">
        <f ca="1">_xll.RiskMean(G88,_xll.RiskStatic(NA()))</f>
        <v>#NAME?</v>
      </c>
    </row>
    <row r="89" spans="2:8" x14ac:dyDescent="0.25">
      <c r="B89" s="18">
        <f t="shared" si="9"/>
        <v>2033</v>
      </c>
      <c r="C89" s="18" t="e">
        <f ca="1">_xll.RiskOutput()+IF(MIN($D$45:D61)&lt;0,1,0)</f>
        <v>#NAME?</v>
      </c>
      <c r="D89" s="294" t="e">
        <f ca="1">_xll.RiskMean(C89,_xll.RiskStatic(NA()))</f>
        <v>#NAME?</v>
      </c>
      <c r="E89" s="276" t="e">
        <f ca="1">MIN($D$45:D61)</f>
        <v>#NAME?</v>
      </c>
      <c r="F89" s="294" t="e">
        <f ca="1">_xll.RiskTarget(E89,0,_xll.RiskStatic(NA()))</f>
        <v>#NAME?</v>
      </c>
      <c r="G89" s="18" t="e">
        <f ca="1">_xll.RiskOutput(,G71,17)+(L30&gt;H61+(E30-G61))</f>
        <v>#NAME?</v>
      </c>
      <c r="H89" s="293" t="e">
        <f ca="1">_xll.RiskMean(G89,_xll.RiskStatic(NA()))</f>
        <v>#NAME?</v>
      </c>
    </row>
    <row r="90" spans="2:8" x14ac:dyDescent="0.25">
      <c r="B90" s="18">
        <f t="shared" si="9"/>
        <v>2034</v>
      </c>
      <c r="C90" s="18" t="e">
        <f ca="1">_xll.RiskOutput()+IF(MIN($D$45:D62)&lt;0,1,0)</f>
        <v>#NAME?</v>
      </c>
      <c r="D90" s="294" t="e">
        <f ca="1">_xll.RiskMean(C90,_xll.RiskStatic(NA()))</f>
        <v>#NAME?</v>
      </c>
      <c r="E90" s="276" t="e">
        <f ca="1">MIN($D$45:D62)</f>
        <v>#NAME?</v>
      </c>
      <c r="F90" s="294" t="e">
        <f ca="1">_xll.RiskTarget(E90,0,_xll.RiskStatic(NA()))</f>
        <v>#NAME?</v>
      </c>
      <c r="G90" s="18" t="e">
        <f ca="1">_xll.RiskOutput(,G71,18)+(L31&gt;H62+(E31-G62))</f>
        <v>#NAME?</v>
      </c>
      <c r="H90" s="293" t="e">
        <f ca="1">_xll.RiskMean(G90,_xll.RiskStatic(NA()))</f>
        <v>#NAME?</v>
      </c>
    </row>
    <row r="91" spans="2:8" x14ac:dyDescent="0.25">
      <c r="B91" s="18">
        <f t="shared" si="9"/>
        <v>2035</v>
      </c>
      <c r="C91" s="18" t="e">
        <f ca="1">_xll.RiskOutput()+IF(MIN($D$45:D63)&lt;0,1,0)</f>
        <v>#NAME?</v>
      </c>
      <c r="D91" s="294" t="e">
        <f ca="1">_xll.RiskMean(C91,_xll.RiskStatic(NA()))</f>
        <v>#NAME?</v>
      </c>
      <c r="E91" s="276" t="e">
        <f ca="1">MIN($D$45:D63)</f>
        <v>#NAME?</v>
      </c>
      <c r="F91" s="294" t="e">
        <f ca="1">_xll.RiskTarget(E91,0,_xll.RiskStatic(NA()))</f>
        <v>#NAME?</v>
      </c>
      <c r="G91" s="18" t="e">
        <f ca="1">_xll.RiskOutput(,G71,19)+(L32&gt;H63+(E32-G63))</f>
        <v>#NAME?</v>
      </c>
      <c r="H91" s="293" t="e">
        <f ca="1">_xll.RiskMean(G91,_xll.RiskStatic(NA()))</f>
        <v>#NAME?</v>
      </c>
    </row>
    <row r="92" spans="2:8" x14ac:dyDescent="0.25">
      <c r="B92" s="18">
        <f t="shared" si="9"/>
        <v>2036</v>
      </c>
      <c r="C92" s="18" t="e">
        <f ca="1">_xll.RiskOutput()+IF(MIN($D$45:D64)&lt;0,1,0)</f>
        <v>#NAME?</v>
      </c>
      <c r="D92" s="294" t="e">
        <f ca="1">_xll.RiskMean(C92,_xll.RiskStatic(NA()))</f>
        <v>#NAME?</v>
      </c>
      <c r="E92" s="276" t="e">
        <f ca="1">MIN($D$45:D64)</f>
        <v>#NAME?</v>
      </c>
      <c r="F92" s="294" t="e">
        <f ca="1">_xll.RiskTarget(E92,0,_xll.RiskStatic(NA()))</f>
        <v>#NAME?</v>
      </c>
      <c r="G92" s="18" t="e">
        <f ca="1">_xll.RiskOutput(,G71,20)+(L33&gt;H64+(E33-G64))</f>
        <v>#NAME?</v>
      </c>
      <c r="H92" s="293" t="e">
        <f ca="1">_xll.RiskMean(G92,_xll.RiskStatic(NA()))</f>
        <v>#NAME?</v>
      </c>
    </row>
    <row r="93" spans="2:8" x14ac:dyDescent="0.25">
      <c r="B93" s="18">
        <f t="shared" si="9"/>
        <v>2037</v>
      </c>
      <c r="C93" s="18" t="e">
        <f ca="1">_xll.RiskOutput()+IF(MIN($D$45:D65)&lt;0,1,0)</f>
        <v>#NAME?</v>
      </c>
      <c r="D93" s="294" t="e">
        <f ca="1">_xll.RiskMean(C93,_xll.RiskStatic(NA()))</f>
        <v>#NAME?</v>
      </c>
      <c r="E93" s="276" t="e">
        <f ca="1">MIN($D$45:D65)</f>
        <v>#NAME?</v>
      </c>
      <c r="F93" s="294" t="e">
        <f ca="1">_xll.RiskTarget(E93,0,_xll.RiskStatic(NA()))</f>
        <v>#NAME?</v>
      </c>
      <c r="G93" s="18" t="e">
        <f ca="1">_xll.RiskOutput(,G71,21)+(L34&gt;H65+(E34-G65))</f>
        <v>#NAME?</v>
      </c>
      <c r="H93" s="293" t="e">
        <f ca="1">_xll.RiskMean(G93,_xll.RiskStatic(NA()))</f>
        <v>#NAME?</v>
      </c>
    </row>
    <row r="94" spans="2:8" x14ac:dyDescent="0.25">
      <c r="B94" s="18">
        <f t="shared" si="9"/>
        <v>2038</v>
      </c>
      <c r="C94" s="18" t="e">
        <f ca="1">_xll.RiskOutput()+IF(MIN($D$45:D66)&lt;0,1,0)</f>
        <v>#NAME?</v>
      </c>
      <c r="D94" s="294" t="e">
        <f ca="1">_xll.RiskMean(C94,_xll.RiskStatic(NA()))</f>
        <v>#NAME?</v>
      </c>
      <c r="E94" s="276" t="e">
        <f ca="1">MIN($D$45:D66)</f>
        <v>#NAME?</v>
      </c>
      <c r="F94" s="294" t="e">
        <f ca="1">_xll.RiskTarget(E94,0,_xll.RiskStatic(NA()))</f>
        <v>#NAME?</v>
      </c>
      <c r="G94" s="18" t="e">
        <f ca="1">_xll.RiskOutput(,G71,22)+(L35&gt;H66+(E35-G66))</f>
        <v>#NAME?</v>
      </c>
      <c r="H94" s="293" t="e">
        <f ca="1">_xll.RiskMean(G94,_xll.RiskStatic(NA()))</f>
        <v>#NAME?</v>
      </c>
    </row>
    <row r="95" spans="2:8" x14ac:dyDescent="0.25">
      <c r="B95" s="18">
        <f t="shared" si="9"/>
        <v>2039</v>
      </c>
      <c r="C95" s="18" t="e">
        <f ca="1">_xll.RiskOutput()+IF(MIN($D$45:D67)&lt;0,1,0)</f>
        <v>#NAME?</v>
      </c>
      <c r="D95" s="294" t="e">
        <f ca="1">_xll.RiskMean(C95,_xll.RiskStatic(NA()))</f>
        <v>#NAME?</v>
      </c>
      <c r="E95" s="276" t="e">
        <f ca="1">MIN($D$45:D67)</f>
        <v>#NAME?</v>
      </c>
      <c r="F95" s="294" t="e">
        <f ca="1">_xll.RiskTarget(E95,0,_xll.RiskStatic(NA()))</f>
        <v>#NAME?</v>
      </c>
      <c r="G95" s="18" t="e">
        <f ca="1">_xll.RiskOutput(,G71,23)+(L36&gt;H67+(E36-G67))</f>
        <v>#NAME?</v>
      </c>
      <c r="H95" s="293" t="e">
        <f ca="1">_xll.RiskMean(G95,_xll.RiskStatic(NA()))</f>
        <v>#NAME?</v>
      </c>
    </row>
    <row r="96" spans="2:8" x14ac:dyDescent="0.25">
      <c r="B96" s="18">
        <f t="shared" si="9"/>
        <v>2040</v>
      </c>
      <c r="C96" s="18" t="e">
        <f ca="1">_xll.RiskOutput()+IF(MIN($D$45:D68)&lt;0,1,0)</f>
        <v>#NAME?</v>
      </c>
      <c r="D96" s="294" t="e">
        <f ca="1">_xll.RiskMean(C96,_xll.RiskStatic(NA()))</f>
        <v>#NAME?</v>
      </c>
      <c r="E96" s="276" t="e">
        <f ca="1">MIN($D$45:D68)</f>
        <v>#NAME?</v>
      </c>
      <c r="F96" s="294" t="e">
        <f ca="1">_xll.RiskTarget(E96,0,_xll.RiskStatic(NA()))</f>
        <v>#NAME?</v>
      </c>
      <c r="G96" s="18" t="e">
        <f ca="1">_xll.RiskOutput(,G71,24)+(L37&gt;H68+(E37-G68))</f>
        <v>#NAME?</v>
      </c>
      <c r="H96" s="293" t="e">
        <f ca="1">_xll.RiskMean(G96,_xll.RiskStatic(NA()))</f>
        <v>#NAME?</v>
      </c>
    </row>
    <row r="97" spans="2:2" x14ac:dyDescent="0.25">
      <c r="B97" t="s">
        <v>317</v>
      </c>
    </row>
  </sheetData>
  <conditionalFormatting sqref="D14:D37">
    <cfRule type="expression" dxfId="112" priority="5" stopIfTrue="1">
      <formula>RiskIsInput</formula>
    </cfRule>
  </conditionalFormatting>
  <conditionalFormatting sqref="G14:G37">
    <cfRule type="expression" dxfId="111" priority="6" stopIfTrue="1">
      <formula>RiskIsOutput</formula>
    </cfRule>
  </conditionalFormatting>
  <conditionalFormatting sqref="L14:L38">
    <cfRule type="expression" dxfId="110" priority="7" stopIfTrue="1">
      <formula>RiskIsOutput</formula>
    </cfRule>
  </conditionalFormatting>
  <conditionalFormatting sqref="F15">
    <cfRule type="expression" dxfId="109" priority="9" stopIfTrue="1">
      <formula>RiskIsOutput</formula>
    </cfRule>
  </conditionalFormatting>
  <conditionalFormatting sqref="F16">
    <cfRule type="expression" dxfId="108" priority="13" stopIfTrue="1">
      <formula>RiskIsOutput</formula>
    </cfRule>
  </conditionalFormatting>
  <conditionalFormatting sqref="F17">
    <cfRule type="expression" dxfId="107" priority="17" stopIfTrue="1">
      <formula>RiskIsOutput</formula>
    </cfRule>
  </conditionalFormatting>
  <conditionalFormatting sqref="K14:K37">
    <cfRule type="expression" dxfId="106" priority="19" stopIfTrue="1">
      <formula>RiskIsOutput</formula>
    </cfRule>
  </conditionalFormatting>
  <conditionalFormatting sqref="F18">
    <cfRule type="expression" dxfId="105" priority="21" stopIfTrue="1">
      <formula>RiskIsOutput</formula>
    </cfRule>
  </conditionalFormatting>
  <conditionalFormatting sqref="F19">
    <cfRule type="expression" dxfId="104" priority="25" stopIfTrue="1">
      <formula>RiskIsOutput</formula>
    </cfRule>
  </conditionalFormatting>
  <conditionalFormatting sqref="F20">
    <cfRule type="expression" dxfId="103" priority="29" stopIfTrue="1">
      <formula>RiskIsOutput</formula>
    </cfRule>
  </conditionalFormatting>
  <conditionalFormatting sqref="F21">
    <cfRule type="expression" dxfId="102" priority="33" stopIfTrue="1">
      <formula>RiskIsOutput</formula>
    </cfRule>
  </conditionalFormatting>
  <conditionalFormatting sqref="F22">
    <cfRule type="expression" dxfId="101" priority="37" stopIfTrue="1">
      <formula>RiskIsOutput</formula>
    </cfRule>
  </conditionalFormatting>
  <conditionalFormatting sqref="F23">
    <cfRule type="expression" dxfId="100" priority="41" stopIfTrue="1">
      <formula>RiskIsOutput</formula>
    </cfRule>
  </conditionalFormatting>
  <conditionalFormatting sqref="F24">
    <cfRule type="expression" dxfId="99" priority="45" stopIfTrue="1">
      <formula>RiskIsOutput</formula>
    </cfRule>
  </conditionalFormatting>
  <conditionalFormatting sqref="F25">
    <cfRule type="expression" dxfId="98" priority="49" stopIfTrue="1">
      <formula>RiskIsOutput</formula>
    </cfRule>
  </conditionalFormatting>
  <conditionalFormatting sqref="F26">
    <cfRule type="expression" dxfId="97" priority="53" stopIfTrue="1">
      <formula>RiskIsOutput</formula>
    </cfRule>
  </conditionalFormatting>
  <conditionalFormatting sqref="F27">
    <cfRule type="expression" dxfId="96" priority="57" stopIfTrue="1">
      <formula>RiskIsOutput</formula>
    </cfRule>
  </conditionalFormatting>
  <conditionalFormatting sqref="F28">
    <cfRule type="expression" dxfId="95" priority="61" stopIfTrue="1">
      <formula>RiskIsOutput</formula>
    </cfRule>
  </conditionalFormatting>
  <conditionalFormatting sqref="F29">
    <cfRule type="expression" dxfId="94" priority="65" stopIfTrue="1">
      <formula>RiskIsOutput</formula>
    </cfRule>
  </conditionalFormatting>
  <conditionalFormatting sqref="F30">
    <cfRule type="expression" dxfId="93" priority="69" stopIfTrue="1">
      <formula>RiskIsOutput</formula>
    </cfRule>
  </conditionalFormatting>
  <conditionalFormatting sqref="F31">
    <cfRule type="expression" dxfId="92" priority="73" stopIfTrue="1">
      <formula>RiskIsOutput</formula>
    </cfRule>
  </conditionalFormatting>
  <conditionalFormatting sqref="F32">
    <cfRule type="expression" dxfId="91" priority="77" stopIfTrue="1">
      <formula>RiskIsOutput</formula>
    </cfRule>
  </conditionalFormatting>
  <conditionalFormatting sqref="F33">
    <cfRule type="expression" dxfId="90" priority="81" stopIfTrue="1">
      <formula>RiskIsOutput</formula>
    </cfRule>
  </conditionalFormatting>
  <conditionalFormatting sqref="F34">
    <cfRule type="expression" dxfId="89" priority="85" stopIfTrue="1">
      <formula>RiskIsOutput</formula>
    </cfRule>
  </conditionalFormatting>
  <conditionalFormatting sqref="F35">
    <cfRule type="expression" dxfId="88" priority="89" stopIfTrue="1">
      <formula>RiskIsOutput</formula>
    </cfRule>
  </conditionalFormatting>
  <conditionalFormatting sqref="F36">
    <cfRule type="expression" dxfId="87" priority="93" stopIfTrue="1">
      <formula>RiskIsOutput</formula>
    </cfRule>
  </conditionalFormatting>
  <conditionalFormatting sqref="F37:F38">
    <cfRule type="expression" dxfId="86" priority="97" stopIfTrue="1">
      <formula>RiskIsOutput</formula>
    </cfRule>
  </conditionalFormatting>
  <conditionalFormatting sqref="G38">
    <cfRule type="expression" dxfId="85" priority="98" stopIfTrue="1">
      <formula>RiskIsOutput</formula>
    </cfRule>
  </conditionalFormatting>
  <conditionalFormatting sqref="D38">
    <cfRule type="expression" dxfId="84" priority="100" stopIfTrue="1">
      <formula>RiskIsInput</formula>
    </cfRule>
  </conditionalFormatting>
  <conditionalFormatting sqref="K38">
    <cfRule type="expression" dxfId="83" priority="103" stopIfTrue="1">
      <formula>RiskIsOutput</formula>
    </cfRule>
  </conditionalFormatting>
  <conditionalFormatting sqref="O14:O37">
    <cfRule type="expression" dxfId="82" priority="4" stopIfTrue="1">
      <formula>RiskIsOutput</formula>
    </cfRule>
  </conditionalFormatting>
  <conditionalFormatting sqref="E14:E37">
    <cfRule type="expression" dxfId="81" priority="104" stopIfTrue="1">
      <formula>RiskIsOutput</formula>
    </cfRule>
  </conditionalFormatting>
  <conditionalFormatting sqref="H14">
    <cfRule type="expression" dxfId="80" priority="105" stopIfTrue="1">
      <formula>RiskIsOutput</formula>
    </cfRule>
  </conditionalFormatting>
  <conditionalFormatting sqref="I45:I68">
    <cfRule type="expression" dxfId="79" priority="109" stopIfTrue="1">
      <formula>RiskIsInput</formula>
    </cfRule>
  </conditionalFormatting>
  <conditionalFormatting sqref="W14:W37">
    <cfRule type="expression" dxfId="78" priority="110" stopIfTrue="1">
      <formula>RiskIsOutput</formula>
    </cfRule>
  </conditionalFormatting>
  <conditionalFormatting sqref="X14">
    <cfRule type="expression" dxfId="77" priority="112" stopIfTrue="1">
      <formula>RiskIsOutput</formula>
    </cfRule>
  </conditionalFormatting>
  <conditionalFormatting sqref="Y14:Y37">
    <cfRule type="expression" dxfId="76" priority="113" stopIfTrue="1">
      <formula>RiskIsStatistics</formula>
    </cfRule>
  </conditionalFormatting>
  <conditionalFormatting sqref="H15">
    <cfRule type="expression" dxfId="75" priority="115" stopIfTrue="1">
      <formula>RiskIsOutput</formula>
    </cfRule>
  </conditionalFormatting>
  <conditionalFormatting sqref="X15">
    <cfRule type="expression" dxfId="74" priority="122" stopIfTrue="1">
      <formula>RiskIsOutput</formula>
    </cfRule>
  </conditionalFormatting>
  <conditionalFormatting sqref="H16">
    <cfRule type="expression" dxfId="73" priority="125" stopIfTrue="1">
      <formula>RiskIsOutput</formula>
    </cfRule>
  </conditionalFormatting>
  <conditionalFormatting sqref="X16">
    <cfRule type="expression" dxfId="72" priority="132" stopIfTrue="1">
      <formula>RiskIsOutput</formula>
    </cfRule>
  </conditionalFormatting>
  <conditionalFormatting sqref="H17">
    <cfRule type="expression" dxfId="71" priority="135" stopIfTrue="1">
      <formula>RiskIsOutput</formula>
    </cfRule>
  </conditionalFormatting>
  <conditionalFormatting sqref="X17">
    <cfRule type="expression" dxfId="70" priority="142" stopIfTrue="1">
      <formula>RiskIsOutput</formula>
    </cfRule>
  </conditionalFormatting>
  <conditionalFormatting sqref="H18">
    <cfRule type="expression" dxfId="69" priority="145" stopIfTrue="1">
      <formula>RiskIsOutput</formula>
    </cfRule>
  </conditionalFormatting>
  <conditionalFormatting sqref="X18">
    <cfRule type="expression" dxfId="68" priority="152" stopIfTrue="1">
      <formula>RiskIsOutput</formula>
    </cfRule>
  </conditionalFormatting>
  <conditionalFormatting sqref="H19">
    <cfRule type="expression" dxfId="67" priority="155" stopIfTrue="1">
      <formula>RiskIsOutput</formula>
    </cfRule>
  </conditionalFormatting>
  <conditionalFormatting sqref="X19">
    <cfRule type="expression" dxfId="66" priority="162" stopIfTrue="1">
      <formula>RiskIsOutput</formula>
    </cfRule>
  </conditionalFormatting>
  <conditionalFormatting sqref="H20">
    <cfRule type="expression" dxfId="65" priority="165" stopIfTrue="1">
      <formula>RiskIsOutput</formula>
    </cfRule>
  </conditionalFormatting>
  <conditionalFormatting sqref="X20">
    <cfRule type="expression" dxfId="64" priority="172" stopIfTrue="1">
      <formula>RiskIsOutput</formula>
    </cfRule>
  </conditionalFormatting>
  <conditionalFormatting sqref="H21">
    <cfRule type="expression" dxfId="63" priority="175" stopIfTrue="1">
      <formula>RiskIsOutput</formula>
    </cfRule>
  </conditionalFormatting>
  <conditionalFormatting sqref="X21">
    <cfRule type="expression" dxfId="62" priority="182" stopIfTrue="1">
      <formula>RiskIsOutput</formula>
    </cfRule>
  </conditionalFormatting>
  <conditionalFormatting sqref="H22">
    <cfRule type="expression" dxfId="61" priority="185" stopIfTrue="1">
      <formula>RiskIsOutput</formula>
    </cfRule>
  </conditionalFormatting>
  <conditionalFormatting sqref="X22">
    <cfRule type="expression" dxfId="60" priority="192" stopIfTrue="1">
      <formula>RiskIsOutput</formula>
    </cfRule>
  </conditionalFormatting>
  <conditionalFormatting sqref="H23">
    <cfRule type="expression" dxfId="59" priority="195" stopIfTrue="1">
      <formula>RiskIsOutput</formula>
    </cfRule>
  </conditionalFormatting>
  <conditionalFormatting sqref="X23">
    <cfRule type="expression" dxfId="58" priority="202" stopIfTrue="1">
      <formula>RiskIsOutput</formula>
    </cfRule>
  </conditionalFormatting>
  <conditionalFormatting sqref="H24">
    <cfRule type="expression" dxfId="57" priority="205" stopIfTrue="1">
      <formula>RiskIsOutput</formula>
    </cfRule>
  </conditionalFormatting>
  <conditionalFormatting sqref="X24">
    <cfRule type="expression" dxfId="56" priority="212" stopIfTrue="1">
      <formula>RiskIsOutput</formula>
    </cfRule>
  </conditionalFormatting>
  <conditionalFormatting sqref="H25">
    <cfRule type="expression" dxfId="55" priority="215" stopIfTrue="1">
      <formula>RiskIsOutput</formula>
    </cfRule>
  </conditionalFormatting>
  <conditionalFormatting sqref="X25">
    <cfRule type="expression" dxfId="54" priority="222" stopIfTrue="1">
      <formula>RiskIsOutput</formula>
    </cfRule>
  </conditionalFormatting>
  <conditionalFormatting sqref="H26">
    <cfRule type="expression" dxfId="53" priority="225" stopIfTrue="1">
      <formula>RiskIsOutput</formula>
    </cfRule>
  </conditionalFormatting>
  <conditionalFormatting sqref="X26">
    <cfRule type="expression" dxfId="52" priority="232" stopIfTrue="1">
      <formula>RiskIsOutput</formula>
    </cfRule>
  </conditionalFormatting>
  <conditionalFormatting sqref="H27">
    <cfRule type="expression" dxfId="51" priority="235" stopIfTrue="1">
      <formula>RiskIsOutput</formula>
    </cfRule>
  </conditionalFormatting>
  <conditionalFormatting sqref="X27">
    <cfRule type="expression" dxfId="50" priority="242" stopIfTrue="1">
      <formula>RiskIsOutput</formula>
    </cfRule>
  </conditionalFormatting>
  <conditionalFormatting sqref="H28">
    <cfRule type="expression" dxfId="49" priority="245" stopIfTrue="1">
      <formula>RiskIsOutput</formula>
    </cfRule>
  </conditionalFormatting>
  <conditionalFormatting sqref="X28">
    <cfRule type="expression" dxfId="48" priority="252" stopIfTrue="1">
      <formula>RiskIsOutput</formula>
    </cfRule>
  </conditionalFormatting>
  <conditionalFormatting sqref="H29">
    <cfRule type="expression" dxfId="47" priority="255" stopIfTrue="1">
      <formula>RiskIsOutput</formula>
    </cfRule>
  </conditionalFormatting>
  <conditionalFormatting sqref="X29">
    <cfRule type="expression" dxfId="46" priority="262" stopIfTrue="1">
      <formula>RiskIsOutput</formula>
    </cfRule>
  </conditionalFormatting>
  <conditionalFormatting sqref="H30">
    <cfRule type="expression" dxfId="45" priority="265" stopIfTrue="1">
      <formula>RiskIsOutput</formula>
    </cfRule>
  </conditionalFormatting>
  <conditionalFormatting sqref="X30">
    <cfRule type="expression" dxfId="44" priority="272" stopIfTrue="1">
      <formula>RiskIsOutput</formula>
    </cfRule>
  </conditionalFormatting>
  <conditionalFormatting sqref="H31">
    <cfRule type="expression" dxfId="43" priority="275" stopIfTrue="1">
      <formula>RiskIsOutput</formula>
    </cfRule>
  </conditionalFormatting>
  <conditionalFormatting sqref="X31">
    <cfRule type="expression" dxfId="42" priority="282" stopIfTrue="1">
      <formula>RiskIsOutput</formula>
    </cfRule>
  </conditionalFormatting>
  <conditionalFormatting sqref="H32">
    <cfRule type="expression" dxfId="41" priority="285" stopIfTrue="1">
      <formula>RiskIsOutput</formula>
    </cfRule>
  </conditionalFormatting>
  <conditionalFormatting sqref="X32">
    <cfRule type="expression" dxfId="40" priority="292" stopIfTrue="1">
      <formula>RiskIsOutput</formula>
    </cfRule>
  </conditionalFormatting>
  <conditionalFormatting sqref="H33">
    <cfRule type="expression" dxfId="39" priority="295" stopIfTrue="1">
      <formula>RiskIsOutput</formula>
    </cfRule>
  </conditionalFormatting>
  <conditionalFormatting sqref="X33">
    <cfRule type="expression" dxfId="38" priority="302" stopIfTrue="1">
      <formula>RiskIsOutput</formula>
    </cfRule>
  </conditionalFormatting>
  <conditionalFormatting sqref="H34">
    <cfRule type="expression" dxfId="37" priority="305" stopIfTrue="1">
      <formula>RiskIsOutput</formula>
    </cfRule>
  </conditionalFormatting>
  <conditionalFormatting sqref="X34">
    <cfRule type="expression" dxfId="36" priority="312" stopIfTrue="1">
      <formula>RiskIsOutput</formula>
    </cfRule>
  </conditionalFormatting>
  <conditionalFormatting sqref="H35">
    <cfRule type="expression" dxfId="35" priority="315" stopIfTrue="1">
      <formula>RiskIsOutput</formula>
    </cfRule>
  </conditionalFormatting>
  <conditionalFormatting sqref="X35">
    <cfRule type="expression" dxfId="34" priority="322" stopIfTrue="1">
      <formula>RiskIsOutput</formula>
    </cfRule>
  </conditionalFormatting>
  <conditionalFormatting sqref="H36">
    <cfRule type="expression" dxfId="33" priority="325" stopIfTrue="1">
      <formula>RiskIsOutput</formula>
    </cfRule>
  </conditionalFormatting>
  <conditionalFormatting sqref="X36">
    <cfRule type="expression" dxfId="32" priority="332" stopIfTrue="1">
      <formula>RiskIsOutput</formula>
    </cfRule>
  </conditionalFormatting>
  <conditionalFormatting sqref="H37">
    <cfRule type="expression" dxfId="31" priority="335" stopIfTrue="1">
      <formula>RiskIsOutput</formula>
    </cfRule>
  </conditionalFormatting>
  <conditionalFormatting sqref="X37">
    <cfRule type="expression" dxfId="30" priority="342" stopIfTrue="1">
      <formula>RiskIsOutput</formula>
    </cfRule>
  </conditionalFormatting>
  <conditionalFormatting sqref="C72">
    <cfRule type="expression" dxfId="29" priority="347" stopIfTrue="1">
      <formula>RiskIsOutput</formula>
    </cfRule>
  </conditionalFormatting>
  <conditionalFormatting sqref="D72:D96">
    <cfRule type="expression" dxfId="28" priority="348" stopIfTrue="1">
      <formula>RiskIsStatistics</formula>
    </cfRule>
  </conditionalFormatting>
  <conditionalFormatting sqref="F72:F96">
    <cfRule type="expression" dxfId="27" priority="350" stopIfTrue="1">
      <formula>RiskIsStatistics</formula>
    </cfRule>
  </conditionalFormatting>
  <conditionalFormatting sqref="C73">
    <cfRule type="expression" dxfId="26" priority="354" stopIfTrue="1">
      <formula>RiskIsOutput</formula>
    </cfRule>
  </conditionalFormatting>
  <conditionalFormatting sqref="C74">
    <cfRule type="expression" dxfId="25" priority="360" stopIfTrue="1">
      <formula>RiskIsOutput</formula>
    </cfRule>
  </conditionalFormatting>
  <conditionalFormatting sqref="C75">
    <cfRule type="expression" dxfId="24" priority="366" stopIfTrue="1">
      <formula>RiskIsOutput</formula>
    </cfRule>
  </conditionalFormatting>
  <conditionalFormatting sqref="C76">
    <cfRule type="expression" dxfId="23" priority="372" stopIfTrue="1">
      <formula>RiskIsOutput</formula>
    </cfRule>
  </conditionalFormatting>
  <conditionalFormatting sqref="C77">
    <cfRule type="expression" dxfId="22" priority="378" stopIfTrue="1">
      <formula>RiskIsOutput</formula>
    </cfRule>
  </conditionalFormatting>
  <conditionalFormatting sqref="C78">
    <cfRule type="expression" dxfId="21" priority="384" stopIfTrue="1">
      <formula>RiskIsOutput</formula>
    </cfRule>
  </conditionalFormatting>
  <conditionalFormatting sqref="C79">
    <cfRule type="expression" dxfId="20" priority="390" stopIfTrue="1">
      <formula>RiskIsOutput</formula>
    </cfRule>
  </conditionalFormatting>
  <conditionalFormatting sqref="C80">
    <cfRule type="expression" dxfId="19" priority="396" stopIfTrue="1">
      <formula>RiskIsOutput</formula>
    </cfRule>
  </conditionalFormatting>
  <conditionalFormatting sqref="C81">
    <cfRule type="expression" dxfId="18" priority="402" stopIfTrue="1">
      <formula>RiskIsOutput</formula>
    </cfRule>
  </conditionalFormatting>
  <conditionalFormatting sqref="C82">
    <cfRule type="expression" dxfId="17" priority="408" stopIfTrue="1">
      <formula>RiskIsOutput</formula>
    </cfRule>
  </conditionalFormatting>
  <conditionalFormatting sqref="C83">
    <cfRule type="expression" dxfId="16" priority="414" stopIfTrue="1">
      <formula>RiskIsOutput</formula>
    </cfRule>
  </conditionalFormatting>
  <conditionalFormatting sqref="C84">
    <cfRule type="expression" dxfId="15" priority="420" stopIfTrue="1">
      <formula>RiskIsOutput</formula>
    </cfRule>
  </conditionalFormatting>
  <conditionalFormatting sqref="C85">
    <cfRule type="expression" dxfId="14" priority="426" stopIfTrue="1">
      <formula>RiskIsOutput</formula>
    </cfRule>
  </conditionalFormatting>
  <conditionalFormatting sqref="C86">
    <cfRule type="expression" dxfId="13" priority="432" stopIfTrue="1">
      <formula>RiskIsOutput</formula>
    </cfRule>
  </conditionalFormatting>
  <conditionalFormatting sqref="C87">
    <cfRule type="expression" dxfId="12" priority="438" stopIfTrue="1">
      <formula>RiskIsOutput</formula>
    </cfRule>
  </conditionalFormatting>
  <conditionalFormatting sqref="C88">
    <cfRule type="expression" dxfId="11" priority="444" stopIfTrue="1">
      <formula>RiskIsOutput</formula>
    </cfRule>
  </conditionalFormatting>
  <conditionalFormatting sqref="C89">
    <cfRule type="expression" dxfId="10" priority="450" stopIfTrue="1">
      <formula>RiskIsOutput</formula>
    </cfRule>
  </conditionalFormatting>
  <conditionalFormatting sqref="C90">
    <cfRule type="expression" dxfId="9" priority="456" stopIfTrue="1">
      <formula>RiskIsOutput</formula>
    </cfRule>
  </conditionalFormatting>
  <conditionalFormatting sqref="C91">
    <cfRule type="expression" dxfId="8" priority="462" stopIfTrue="1">
      <formula>RiskIsOutput</formula>
    </cfRule>
  </conditionalFormatting>
  <conditionalFormatting sqref="C92">
    <cfRule type="expression" dxfId="7" priority="468" stopIfTrue="1">
      <formula>RiskIsOutput</formula>
    </cfRule>
  </conditionalFormatting>
  <conditionalFormatting sqref="C93">
    <cfRule type="expression" dxfId="6" priority="474" stopIfTrue="1">
      <formula>RiskIsOutput</formula>
    </cfRule>
  </conditionalFormatting>
  <conditionalFormatting sqref="C94">
    <cfRule type="expression" dxfId="5" priority="480" stopIfTrue="1">
      <formula>RiskIsOutput</formula>
    </cfRule>
  </conditionalFormatting>
  <conditionalFormatting sqref="C95">
    <cfRule type="expression" dxfId="4" priority="486" stopIfTrue="1">
      <formula>RiskIsOutput</formula>
    </cfRule>
  </conditionalFormatting>
  <conditionalFormatting sqref="C96">
    <cfRule type="expression" dxfId="3" priority="492" stopIfTrue="1">
      <formula>RiskIsOutput</formula>
    </cfRule>
  </conditionalFormatting>
  <conditionalFormatting sqref="Q14:Q37">
    <cfRule type="expression" dxfId="2" priority="3" stopIfTrue="1">
      <formula>RiskIsOutput</formula>
    </cfRule>
  </conditionalFormatting>
  <conditionalFormatting sqref="C45:E68">
    <cfRule type="expression" dxfId="1" priority="2" stopIfTrue="1">
      <formula>RiskIsOutput</formula>
    </cfRule>
  </conditionalFormatting>
  <conditionalFormatting sqref="G73:H96">
    <cfRule type="expression" dxfId="0" priority="1" stopIfTrue="1">
      <formula>RiskIsStatistics</formula>
    </cfRule>
  </conditionalFormatting>
  <pageMargins left="0.7" right="0.7" top="0.75" bottom="0.75" header="0.3" footer="0.3"/>
  <pageSetup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O5" sqref="O5"/>
    </sheetView>
  </sheetViews>
  <sheetFormatPr defaultRowHeight="15" x14ac:dyDescent="0.25"/>
  <sheetData>
    <row r="1" spans="1:1" x14ac:dyDescent="0.25">
      <c r="A1" s="16" t="s">
        <v>49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
  <sheetViews>
    <sheetView showGridLines="0" workbookViewId="0">
      <selection activeCell="D28" sqref="D28"/>
    </sheetView>
  </sheetViews>
  <sheetFormatPr defaultRowHeight="15" x14ac:dyDescent="0.25"/>
  <cols>
    <col min="1" max="1" width="9" customWidth="1"/>
    <col min="2" max="2" width="35.7109375" bestFit="1" customWidth="1"/>
    <col min="3" max="3" width="83.140625" bestFit="1" customWidth="1"/>
    <col min="4" max="4" width="152" bestFit="1" customWidth="1"/>
  </cols>
  <sheetData>
    <row r="1" spans="2:5" ht="15.75" thickBot="1" x14ac:dyDescent="0.3">
      <c r="B1" s="295" t="s">
        <v>253</v>
      </c>
      <c r="C1" s="295" t="s">
        <v>264</v>
      </c>
      <c r="D1" s="295" t="s">
        <v>263</v>
      </c>
      <c r="E1" s="5"/>
    </row>
    <row r="2" spans="2:5" x14ac:dyDescent="0.25">
      <c r="B2" s="296" t="s">
        <v>259</v>
      </c>
      <c r="C2" s="296" t="s">
        <v>266</v>
      </c>
      <c r="D2" s="296" t="s">
        <v>309</v>
      </c>
    </row>
    <row r="3" spans="2:5" x14ac:dyDescent="0.25">
      <c r="B3" s="297" t="s">
        <v>66</v>
      </c>
      <c r="C3" s="297" t="s">
        <v>260</v>
      </c>
      <c r="D3" s="297" t="s">
        <v>309</v>
      </c>
    </row>
    <row r="4" spans="2:5" x14ac:dyDescent="0.25">
      <c r="B4" s="297" t="s">
        <v>112</v>
      </c>
      <c r="C4" s="297" t="s">
        <v>265</v>
      </c>
      <c r="D4" s="297" t="s">
        <v>312</v>
      </c>
    </row>
    <row r="5" spans="2:5" x14ac:dyDescent="0.25">
      <c r="B5" s="297" t="s">
        <v>110</v>
      </c>
      <c r="C5" s="297" t="s">
        <v>267</v>
      </c>
      <c r="D5" s="297" t="s">
        <v>319</v>
      </c>
    </row>
    <row r="6" spans="2:5" x14ac:dyDescent="0.25">
      <c r="B6" s="297" t="s">
        <v>113</v>
      </c>
      <c r="C6" s="297" t="s">
        <v>273</v>
      </c>
      <c r="D6" s="297" t="s">
        <v>320</v>
      </c>
    </row>
    <row r="7" spans="2:5" x14ac:dyDescent="0.25">
      <c r="B7" s="297" t="s">
        <v>48</v>
      </c>
      <c r="C7" s="297" t="s">
        <v>269</v>
      </c>
      <c r="D7" s="297" t="s">
        <v>284</v>
      </c>
    </row>
    <row r="8" spans="2:5" x14ac:dyDescent="0.25">
      <c r="B8" s="297" t="s">
        <v>40</v>
      </c>
      <c r="C8" s="297" t="s">
        <v>268</v>
      </c>
      <c r="D8" s="297" t="s">
        <v>321</v>
      </c>
    </row>
    <row r="9" spans="2:5" x14ac:dyDescent="0.25">
      <c r="B9" s="297" t="s">
        <v>24</v>
      </c>
      <c r="C9" s="297" t="s">
        <v>274</v>
      </c>
      <c r="D9" s="297" t="s">
        <v>322</v>
      </c>
    </row>
    <row r="10" spans="2:5" x14ac:dyDescent="0.25">
      <c r="B10" s="297" t="s">
        <v>114</v>
      </c>
      <c r="C10" s="297" t="s">
        <v>279</v>
      </c>
      <c r="D10" s="297" t="s">
        <v>261</v>
      </c>
    </row>
    <row r="11" spans="2:5" x14ac:dyDescent="0.25">
      <c r="B11" s="297" t="s">
        <v>115</v>
      </c>
      <c r="C11" s="297" t="s">
        <v>275</v>
      </c>
      <c r="D11" s="297" t="s">
        <v>262</v>
      </c>
    </row>
    <row r="12" spans="2:5" x14ac:dyDescent="0.25">
      <c r="B12" s="297" t="s">
        <v>117</v>
      </c>
      <c r="C12" s="297" t="s">
        <v>271</v>
      </c>
      <c r="D12" s="297" t="s">
        <v>323</v>
      </c>
    </row>
    <row r="13" spans="2:5" x14ac:dyDescent="0.25">
      <c r="B13" s="297" t="s">
        <v>118</v>
      </c>
      <c r="C13" s="297" t="s">
        <v>276</v>
      </c>
      <c r="D13" s="297" t="s">
        <v>324</v>
      </c>
    </row>
    <row r="14" spans="2:5" x14ac:dyDescent="0.25">
      <c r="B14" s="297" t="s">
        <v>119</v>
      </c>
      <c r="C14" s="297" t="s">
        <v>270</v>
      </c>
      <c r="D14" s="297" t="s">
        <v>325</v>
      </c>
    </row>
    <row r="15" spans="2:5" x14ac:dyDescent="0.25">
      <c r="B15" s="297" t="s">
        <v>36</v>
      </c>
      <c r="C15" s="297" t="s">
        <v>272</v>
      </c>
      <c r="D15" s="297" t="s">
        <v>326</v>
      </c>
    </row>
    <row r="16" spans="2:5" x14ac:dyDescent="0.25">
      <c r="B16" s="297" t="s">
        <v>37</v>
      </c>
      <c r="C16" s="297" t="s">
        <v>277</v>
      </c>
      <c r="D16" s="297" t="s">
        <v>327</v>
      </c>
    </row>
    <row r="17" spans="2:4" x14ac:dyDescent="0.25">
      <c r="B17" s="297" t="s">
        <v>254</v>
      </c>
      <c r="C17" s="297" t="s">
        <v>278</v>
      </c>
      <c r="D17" s="297" t="s">
        <v>328</v>
      </c>
    </row>
    <row r="18" spans="2:4" x14ac:dyDescent="0.25">
      <c r="B18" s="297" t="s">
        <v>121</v>
      </c>
      <c r="C18" s="297" t="s">
        <v>280</v>
      </c>
      <c r="D18" s="297" t="s">
        <v>329</v>
      </c>
    </row>
    <row r="19" spans="2:4" x14ac:dyDescent="0.25">
      <c r="B19" s="297" t="s">
        <v>255</v>
      </c>
      <c r="C19" s="297" t="s">
        <v>307</v>
      </c>
      <c r="D19" s="297" t="s">
        <v>330</v>
      </c>
    </row>
    <row r="20" spans="2:4" x14ac:dyDescent="0.25">
      <c r="B20" t="s">
        <v>122</v>
      </c>
      <c r="C20" s="297" t="s">
        <v>313</v>
      </c>
      <c r="D20" s="297" t="s">
        <v>314</v>
      </c>
    </row>
    <row r="21" spans="2:4" x14ac:dyDescent="0.25">
      <c r="B21" s="297" t="s">
        <v>256</v>
      </c>
      <c r="C21" s="297" t="s">
        <v>281</v>
      </c>
      <c r="D21" s="297" t="s">
        <v>331</v>
      </c>
    </row>
    <row r="22" spans="2:4" x14ac:dyDescent="0.25">
      <c r="B22" s="297" t="s">
        <v>104</v>
      </c>
      <c r="C22" s="297" t="s">
        <v>308</v>
      </c>
      <c r="D22" s="297" t="s">
        <v>332</v>
      </c>
    </row>
    <row r="23" spans="2:4" x14ac:dyDescent="0.25">
      <c r="B23" s="297" t="s">
        <v>257</v>
      </c>
      <c r="C23" s="297" t="s">
        <v>282</v>
      </c>
      <c r="D23" s="297" t="s">
        <v>332</v>
      </c>
    </row>
    <row r="24" spans="2:4" x14ac:dyDescent="0.25">
      <c r="B24" s="297" t="s">
        <v>258</v>
      </c>
      <c r="C24" s="297" t="s">
        <v>283</v>
      </c>
      <c r="D24" s="297" t="s">
        <v>299</v>
      </c>
    </row>
    <row r="25" spans="2:4" x14ac:dyDescent="0.25">
      <c r="B25" s="297" t="s">
        <v>133</v>
      </c>
      <c r="C25" s="297" t="s">
        <v>291</v>
      </c>
      <c r="D25" s="297" t="s">
        <v>295</v>
      </c>
    </row>
    <row r="26" spans="2:4" x14ac:dyDescent="0.25">
      <c r="B26" s="297" t="s">
        <v>132</v>
      </c>
      <c r="C26" s="297" t="s">
        <v>293</v>
      </c>
      <c r="D26" s="297" t="s">
        <v>298</v>
      </c>
    </row>
    <row r="27" spans="2:4" x14ac:dyDescent="0.25">
      <c r="B27" s="297" t="s">
        <v>130</v>
      </c>
      <c r="C27" s="297" t="s">
        <v>292</v>
      </c>
      <c r="D27" s="297" t="s">
        <v>296</v>
      </c>
    </row>
    <row r="28" spans="2:4" x14ac:dyDescent="0.25">
      <c r="B28" s="298" t="s">
        <v>131</v>
      </c>
      <c r="C28" s="298" t="s">
        <v>294</v>
      </c>
      <c r="D28" s="298" t="s">
        <v>297</v>
      </c>
    </row>
    <row r="31" spans="2:4" ht="15.75" thickBot="1" x14ac:dyDescent="0.3">
      <c r="B31" s="295" t="s">
        <v>286</v>
      </c>
      <c r="C31" s="295" t="s">
        <v>264</v>
      </c>
    </row>
    <row r="32" spans="2:4" x14ac:dyDescent="0.25">
      <c r="B32" t="s">
        <v>288</v>
      </c>
      <c r="C32" t="s">
        <v>290</v>
      </c>
    </row>
    <row r="33" spans="2:3" x14ac:dyDescent="0.25">
      <c r="B33" s="297" t="s">
        <v>289</v>
      </c>
      <c r="C33" s="297" t="s">
        <v>287</v>
      </c>
    </row>
    <row r="34" spans="2:3" x14ac:dyDescent="0.25">
      <c r="B34" s="297" t="s">
        <v>75</v>
      </c>
      <c r="C34" s="297" t="s">
        <v>306</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F216"/>
  <sheetViews>
    <sheetView tabSelected="1" zoomScale="85" zoomScaleNormal="85" workbookViewId="0">
      <pane xSplit="2" ySplit="6" topLeftCell="C7" activePane="bottomRight" state="frozen"/>
      <selection pane="topRight" activeCell="C1" sqref="C1"/>
      <selection pane="bottomLeft" activeCell="A7" sqref="A7"/>
      <selection pane="bottomRight" activeCell="D140" sqref="D140"/>
    </sheetView>
  </sheetViews>
  <sheetFormatPr defaultColWidth="9.140625" defaultRowHeight="12.75" x14ac:dyDescent="0.2"/>
  <cols>
    <col min="1" max="1" width="49" style="117" customWidth="1"/>
    <col min="2" max="2" width="12" style="236" customWidth="1"/>
    <col min="3" max="39" width="12.5703125" style="113" customWidth="1"/>
    <col min="40" max="16384" width="9.140625" style="113"/>
  </cols>
  <sheetData>
    <row r="1" spans="1:75" s="86" customFormat="1" x14ac:dyDescent="0.2">
      <c r="B1" s="87"/>
      <c r="C1" s="88"/>
    </row>
    <row r="2" spans="1:75" s="93" customFormat="1" ht="15.75" x14ac:dyDescent="0.25">
      <c r="A2" s="90" t="s">
        <v>137</v>
      </c>
      <c r="B2" s="91"/>
      <c r="C2" s="90" t="s">
        <v>138</v>
      </c>
      <c r="D2" s="92"/>
      <c r="E2" s="94"/>
      <c r="F2" s="95">
        <f ca="1">NOW()</f>
        <v>42422.431861805555</v>
      </c>
      <c r="H2" s="96">
        <f ca="1">TRUNC(NOW())</f>
        <v>42422</v>
      </c>
      <c r="I2" s="97"/>
      <c r="J2" s="98"/>
      <c r="L2" s="99"/>
      <c r="M2" s="97"/>
      <c r="N2" s="100"/>
    </row>
    <row r="3" spans="1:75" s="102" customFormat="1" ht="5.0999999999999996" customHeight="1" x14ac:dyDescent="0.2">
      <c r="A3" s="101"/>
      <c r="C3" s="101"/>
      <c r="E3" s="103"/>
      <c r="F3" s="103"/>
      <c r="G3" s="103"/>
      <c r="H3" s="103"/>
      <c r="I3" s="103"/>
      <c r="J3" s="103"/>
      <c r="K3" s="103"/>
      <c r="L3" s="103"/>
      <c r="M3" s="103"/>
      <c r="N3" s="103"/>
      <c r="O3" s="103"/>
      <c r="P3" s="103"/>
      <c r="Q3" s="103"/>
      <c r="R3" s="103"/>
      <c r="S3" s="103"/>
      <c r="T3" s="103"/>
      <c r="U3" s="103"/>
      <c r="V3" s="103"/>
      <c r="W3" s="103"/>
      <c r="X3" s="103"/>
      <c r="Y3" s="103"/>
      <c r="Z3" s="103"/>
      <c r="AA3" s="103"/>
    </row>
    <row r="4" spans="1:75" s="108" customFormat="1" ht="11.25" customHeight="1" x14ac:dyDescent="0.2">
      <c r="A4" s="104" t="s">
        <v>139</v>
      </c>
      <c r="B4" s="105"/>
      <c r="C4" s="106">
        <v>2017</v>
      </c>
      <c r="D4" s="106">
        <f>C4+1</f>
        <v>2018</v>
      </c>
      <c r="E4" s="106">
        <f t="shared" ref="E4:Z4" si="0">D4+1</f>
        <v>2019</v>
      </c>
      <c r="F4" s="107">
        <f t="shared" si="0"/>
        <v>2020</v>
      </c>
      <c r="G4" s="107">
        <f t="shared" si="0"/>
        <v>2021</v>
      </c>
      <c r="H4" s="107">
        <f t="shared" si="0"/>
        <v>2022</v>
      </c>
      <c r="I4" s="107">
        <f t="shared" si="0"/>
        <v>2023</v>
      </c>
      <c r="J4" s="107">
        <f t="shared" si="0"/>
        <v>2024</v>
      </c>
      <c r="K4" s="107">
        <f t="shared" si="0"/>
        <v>2025</v>
      </c>
      <c r="L4" s="107">
        <f t="shared" si="0"/>
        <v>2026</v>
      </c>
      <c r="M4" s="107">
        <f t="shared" si="0"/>
        <v>2027</v>
      </c>
      <c r="N4" s="107">
        <f t="shared" si="0"/>
        <v>2028</v>
      </c>
      <c r="O4" s="107">
        <f t="shared" si="0"/>
        <v>2029</v>
      </c>
      <c r="P4" s="107">
        <f t="shared" si="0"/>
        <v>2030</v>
      </c>
      <c r="Q4" s="107">
        <f t="shared" si="0"/>
        <v>2031</v>
      </c>
      <c r="R4" s="107">
        <f t="shared" si="0"/>
        <v>2032</v>
      </c>
      <c r="S4" s="107">
        <f t="shared" si="0"/>
        <v>2033</v>
      </c>
      <c r="T4" s="107">
        <f t="shared" si="0"/>
        <v>2034</v>
      </c>
      <c r="U4" s="107">
        <f t="shared" si="0"/>
        <v>2035</v>
      </c>
      <c r="V4" s="107">
        <f t="shared" si="0"/>
        <v>2036</v>
      </c>
      <c r="W4" s="107">
        <f t="shared" si="0"/>
        <v>2037</v>
      </c>
      <c r="X4" s="107">
        <f t="shared" si="0"/>
        <v>2038</v>
      </c>
      <c r="Y4" s="107">
        <f t="shared" si="0"/>
        <v>2039</v>
      </c>
      <c r="Z4" s="107">
        <f t="shared" si="0"/>
        <v>2040</v>
      </c>
      <c r="AA4" s="107"/>
      <c r="AB4" s="107"/>
      <c r="AC4" s="107"/>
      <c r="AD4" s="107"/>
      <c r="AE4" s="107"/>
      <c r="AF4" s="107"/>
      <c r="AG4" s="107"/>
      <c r="AH4" s="107"/>
      <c r="AI4" s="107"/>
      <c r="AJ4" s="107"/>
    </row>
    <row r="5" spans="1:75" x14ac:dyDescent="0.2">
      <c r="A5" s="109" t="s">
        <v>140</v>
      </c>
      <c r="B5" s="110"/>
      <c r="C5" s="112">
        <v>365</v>
      </c>
      <c r="D5" s="112">
        <v>365</v>
      </c>
      <c r="E5" s="112">
        <v>365</v>
      </c>
      <c r="F5" s="112">
        <v>366</v>
      </c>
      <c r="G5" s="112">
        <v>365</v>
      </c>
      <c r="H5" s="112">
        <v>365</v>
      </c>
      <c r="I5" s="112">
        <v>365</v>
      </c>
      <c r="J5" s="112">
        <v>366</v>
      </c>
      <c r="K5" s="112">
        <v>365</v>
      </c>
      <c r="L5" s="112">
        <v>365</v>
      </c>
      <c r="M5" s="112">
        <v>365</v>
      </c>
      <c r="N5" s="112">
        <v>366</v>
      </c>
      <c r="O5" s="112">
        <v>365</v>
      </c>
      <c r="P5" s="112">
        <v>365</v>
      </c>
      <c r="Q5" s="112">
        <v>365</v>
      </c>
      <c r="R5" s="112">
        <v>366</v>
      </c>
      <c r="S5" s="112">
        <v>365</v>
      </c>
      <c r="T5" s="112">
        <v>365</v>
      </c>
      <c r="U5" s="112">
        <v>365</v>
      </c>
      <c r="V5" s="112">
        <v>366</v>
      </c>
      <c r="W5" s="112">
        <v>365</v>
      </c>
      <c r="X5" s="112">
        <v>365</v>
      </c>
      <c r="Y5" s="112">
        <v>365</v>
      </c>
      <c r="Z5" s="112">
        <v>366</v>
      </c>
      <c r="AA5" s="111"/>
      <c r="AB5" s="111"/>
      <c r="AC5" s="111"/>
      <c r="AD5" s="111"/>
      <c r="AE5" s="111"/>
      <c r="AF5" s="111"/>
      <c r="AG5" s="111"/>
      <c r="AH5" s="111"/>
      <c r="AI5" s="111"/>
      <c r="AJ5" s="111"/>
      <c r="BV5" s="114"/>
      <c r="BW5" s="115"/>
    </row>
    <row r="6" spans="1:75" s="102" customFormat="1" ht="4.5" customHeight="1" x14ac:dyDescent="0.2">
      <c r="A6" s="103"/>
      <c r="B6" s="103"/>
      <c r="C6" s="103"/>
      <c r="D6" s="103"/>
      <c r="E6" s="103"/>
      <c r="F6" s="103"/>
      <c r="G6" s="103"/>
      <c r="H6" s="103"/>
      <c r="I6" s="103"/>
      <c r="J6" s="103"/>
      <c r="K6" s="103"/>
      <c r="L6" s="103"/>
      <c r="M6" s="103"/>
      <c r="N6" s="103"/>
      <c r="O6" s="103"/>
      <c r="P6" s="103"/>
      <c r="Q6" s="103"/>
      <c r="R6" s="103"/>
      <c r="S6" s="103"/>
      <c r="T6" s="103"/>
      <c r="U6" s="103"/>
      <c r="V6" s="103"/>
      <c r="W6" s="103"/>
      <c r="X6" s="103"/>
      <c r="Y6" s="103"/>
    </row>
    <row r="7" spans="1:75" s="117" customFormat="1" x14ac:dyDescent="0.2">
      <c r="A7" s="116"/>
      <c r="B7" s="116"/>
      <c r="C7" s="116"/>
      <c r="D7" s="116"/>
      <c r="E7" s="116"/>
      <c r="F7" s="116"/>
      <c r="G7" s="116"/>
      <c r="H7" s="116"/>
      <c r="I7" s="116"/>
      <c r="J7" s="116"/>
      <c r="K7" s="116"/>
      <c r="L7" s="116"/>
      <c r="M7" s="116"/>
      <c r="N7" s="116"/>
      <c r="O7" s="116"/>
      <c r="P7" s="116"/>
      <c r="Q7" s="116"/>
      <c r="R7" s="116"/>
      <c r="S7" s="116"/>
      <c r="T7" s="116"/>
      <c r="U7" s="116"/>
      <c r="V7" s="116"/>
      <c r="W7" s="116"/>
      <c r="X7" s="116"/>
      <c r="Y7" s="116"/>
    </row>
    <row r="8" spans="1:75" s="119" customFormat="1" ht="12.75" customHeight="1" x14ac:dyDescent="0.2">
      <c r="A8" s="118" t="s">
        <v>141</v>
      </c>
      <c r="C8" s="120" t="s">
        <v>142</v>
      </c>
      <c r="D8" s="120" t="s">
        <v>142</v>
      </c>
      <c r="E8" s="120" t="s">
        <v>142</v>
      </c>
      <c r="F8" s="120" t="s">
        <v>142</v>
      </c>
      <c r="G8" s="120" t="s">
        <v>142</v>
      </c>
      <c r="H8" s="120" t="s">
        <v>142</v>
      </c>
      <c r="I8" s="120" t="s">
        <v>142</v>
      </c>
      <c r="J8" s="120" t="s">
        <v>142</v>
      </c>
      <c r="K8" s="120" t="s">
        <v>142</v>
      </c>
      <c r="L8" s="120" t="s">
        <v>142</v>
      </c>
      <c r="M8" s="120" t="s">
        <v>142</v>
      </c>
      <c r="N8" s="120" t="s">
        <v>142</v>
      </c>
      <c r="O8" s="120" t="s">
        <v>142</v>
      </c>
      <c r="P8" s="120" t="s">
        <v>142</v>
      </c>
      <c r="Q8" s="120" t="s">
        <v>142</v>
      </c>
      <c r="R8" s="120" t="s">
        <v>142</v>
      </c>
      <c r="S8" s="120" t="s">
        <v>142</v>
      </c>
      <c r="T8" s="120" t="s">
        <v>142</v>
      </c>
      <c r="U8" s="120" t="s">
        <v>142</v>
      </c>
      <c r="V8" s="120" t="s">
        <v>142</v>
      </c>
      <c r="W8" s="120" t="s">
        <v>142</v>
      </c>
      <c r="X8" s="120" t="s">
        <v>142</v>
      </c>
      <c r="Y8" s="120" t="s">
        <v>142</v>
      </c>
      <c r="Z8" s="120" t="s">
        <v>142</v>
      </c>
      <c r="AA8" s="120"/>
      <c r="AB8" s="120"/>
      <c r="AC8" s="120"/>
      <c r="AD8" s="120"/>
      <c r="AE8" s="120"/>
      <c r="AF8" s="120"/>
      <c r="AG8" s="120"/>
      <c r="AH8" s="120"/>
      <c r="AI8" s="120"/>
      <c r="AJ8" s="120"/>
    </row>
    <row r="9" spans="1:75" s="122" customFormat="1" ht="15.75" x14ac:dyDescent="0.25">
      <c r="A9" s="121" t="s">
        <v>143</v>
      </c>
      <c r="C9" s="123" t="e">
        <f t="shared" ref="C9:Z9" ca="1" si="1">IF(C8="actual",C112,IF(C8="user input",C118,C115))</f>
        <v>#NAME?</v>
      </c>
      <c r="D9" s="123" t="e">
        <f t="shared" ca="1" si="1"/>
        <v>#NAME?</v>
      </c>
      <c r="E9" s="123" t="e">
        <f t="shared" ca="1" si="1"/>
        <v>#NAME?</v>
      </c>
      <c r="F9" s="123" t="e">
        <f t="shared" ca="1" si="1"/>
        <v>#NAME?</v>
      </c>
      <c r="G9" s="123" t="e">
        <f t="shared" ca="1" si="1"/>
        <v>#NAME?</v>
      </c>
      <c r="H9" s="123" t="e">
        <f t="shared" ca="1" si="1"/>
        <v>#NAME?</v>
      </c>
      <c r="I9" s="123" t="e">
        <f t="shared" ca="1" si="1"/>
        <v>#NAME?</v>
      </c>
      <c r="J9" s="123" t="e">
        <f t="shared" ca="1" si="1"/>
        <v>#NAME?</v>
      </c>
      <c r="K9" s="123" t="e">
        <f t="shared" ca="1" si="1"/>
        <v>#NAME?</v>
      </c>
      <c r="L9" s="123" t="e">
        <f t="shared" ca="1" si="1"/>
        <v>#NAME?</v>
      </c>
      <c r="M9" s="123" t="e">
        <f t="shared" ca="1" si="1"/>
        <v>#NAME?</v>
      </c>
      <c r="N9" s="123" t="e">
        <f t="shared" ca="1" si="1"/>
        <v>#NAME?</v>
      </c>
      <c r="O9" s="123" t="e">
        <f t="shared" ca="1" si="1"/>
        <v>#NAME?</v>
      </c>
      <c r="P9" s="123" t="e">
        <f t="shared" ca="1" si="1"/>
        <v>#NAME?</v>
      </c>
      <c r="Q9" s="123" t="e">
        <f t="shared" ca="1" si="1"/>
        <v>#NAME?</v>
      </c>
      <c r="R9" s="123" t="e">
        <f t="shared" ca="1" si="1"/>
        <v>#NAME?</v>
      </c>
      <c r="S9" s="123" t="e">
        <f t="shared" ca="1" si="1"/>
        <v>#NAME?</v>
      </c>
      <c r="T9" s="123" t="e">
        <f t="shared" ca="1" si="1"/>
        <v>#NAME?</v>
      </c>
      <c r="U9" s="123" t="e">
        <f t="shared" ca="1" si="1"/>
        <v>#NAME?</v>
      </c>
      <c r="V9" s="123" t="e">
        <f t="shared" ca="1" si="1"/>
        <v>#NAME?</v>
      </c>
      <c r="W9" s="123" t="e">
        <f t="shared" ca="1" si="1"/>
        <v>#NAME?</v>
      </c>
      <c r="X9" s="123" t="e">
        <f t="shared" ca="1" si="1"/>
        <v>#NAME?</v>
      </c>
      <c r="Y9" s="123" t="e">
        <f t="shared" ca="1" si="1"/>
        <v>#NAME?</v>
      </c>
      <c r="Z9" s="123" t="e">
        <f t="shared" ca="1" si="1"/>
        <v>#NAME?</v>
      </c>
      <c r="AA9" s="124"/>
      <c r="AB9" s="124"/>
      <c r="AC9" s="124"/>
      <c r="AD9" s="124"/>
      <c r="AE9" s="124"/>
      <c r="AF9" s="124"/>
      <c r="AG9" s="124"/>
      <c r="AH9" s="124"/>
      <c r="AI9" s="124"/>
      <c r="AJ9" s="124"/>
    </row>
    <row r="10" spans="1:75" s="122" customFormat="1" ht="15.75" x14ac:dyDescent="0.25">
      <c r="B10" s="286" t="s">
        <v>285</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4"/>
      <c r="AB10" s="124"/>
      <c r="AC10" s="124"/>
      <c r="AD10" s="124"/>
      <c r="AE10" s="124"/>
      <c r="AF10" s="124"/>
      <c r="AG10" s="124"/>
      <c r="AH10" s="124"/>
      <c r="AI10" s="124"/>
      <c r="AJ10" s="124"/>
    </row>
    <row r="11" spans="1:75" s="122" customFormat="1" ht="15.75" x14ac:dyDescent="0.25">
      <c r="A11" s="123" t="s">
        <v>144</v>
      </c>
      <c r="B11" s="125">
        <v>0.31928153889217176</v>
      </c>
      <c r="C11" s="126" t="e">
        <f ca="1">ROUND(C9/49.58*1.505,3)</f>
        <v>#NAME?</v>
      </c>
      <c r="D11" s="126" t="e">
        <f t="shared" ref="D11:Z11" ca="1" si="2">ROUND(D9/C9*C11,3)</f>
        <v>#NAME?</v>
      </c>
      <c r="E11" s="126" t="e">
        <f t="shared" ca="1" si="2"/>
        <v>#NAME?</v>
      </c>
      <c r="F11" s="126" t="e">
        <f t="shared" ca="1" si="2"/>
        <v>#NAME?</v>
      </c>
      <c r="G11" s="126" t="e">
        <f t="shared" ca="1" si="2"/>
        <v>#NAME?</v>
      </c>
      <c r="H11" s="126" t="e">
        <f t="shared" ca="1" si="2"/>
        <v>#NAME?</v>
      </c>
      <c r="I11" s="126" t="e">
        <f t="shared" ca="1" si="2"/>
        <v>#NAME?</v>
      </c>
      <c r="J11" s="126" t="e">
        <f t="shared" ca="1" si="2"/>
        <v>#NAME?</v>
      </c>
      <c r="K11" s="126" t="e">
        <f t="shared" ca="1" si="2"/>
        <v>#NAME?</v>
      </c>
      <c r="L11" s="126" t="e">
        <f t="shared" ca="1" si="2"/>
        <v>#NAME?</v>
      </c>
      <c r="M11" s="126" t="e">
        <f t="shared" ca="1" si="2"/>
        <v>#NAME?</v>
      </c>
      <c r="N11" s="126" t="e">
        <f t="shared" ca="1" si="2"/>
        <v>#NAME?</v>
      </c>
      <c r="O11" s="126" t="e">
        <f t="shared" ca="1" si="2"/>
        <v>#NAME?</v>
      </c>
      <c r="P11" s="126" t="e">
        <f t="shared" ca="1" si="2"/>
        <v>#NAME?</v>
      </c>
      <c r="Q11" s="126" t="e">
        <f t="shared" ca="1" si="2"/>
        <v>#NAME?</v>
      </c>
      <c r="R11" s="126" t="e">
        <f t="shared" ca="1" si="2"/>
        <v>#NAME?</v>
      </c>
      <c r="S11" s="126" t="e">
        <f t="shared" ca="1" si="2"/>
        <v>#NAME?</v>
      </c>
      <c r="T11" s="126" t="e">
        <f t="shared" ca="1" si="2"/>
        <v>#NAME?</v>
      </c>
      <c r="U11" s="126" t="e">
        <f t="shared" ca="1" si="2"/>
        <v>#NAME?</v>
      </c>
      <c r="V11" s="126" t="e">
        <f t="shared" ca="1" si="2"/>
        <v>#NAME?</v>
      </c>
      <c r="W11" s="126" t="e">
        <f t="shared" ca="1" si="2"/>
        <v>#NAME?</v>
      </c>
      <c r="X11" s="126" t="e">
        <f t="shared" ca="1" si="2"/>
        <v>#NAME?</v>
      </c>
      <c r="Y11" s="126" t="e">
        <f t="shared" ca="1" si="2"/>
        <v>#NAME?</v>
      </c>
      <c r="Z11" s="126" t="e">
        <f t="shared" ca="1" si="2"/>
        <v>#NAME?</v>
      </c>
      <c r="AA11" s="124"/>
      <c r="AB11" s="124"/>
      <c r="AC11" s="124"/>
      <c r="AD11" s="124"/>
      <c r="AE11" s="124"/>
      <c r="AF11" s="124"/>
      <c r="AG11" s="124"/>
      <c r="AH11" s="124"/>
      <c r="AI11" s="124"/>
      <c r="AJ11" s="124"/>
    </row>
    <row r="12" spans="1:75" s="122" customFormat="1" ht="15.75" x14ac:dyDescent="0.25">
      <c r="A12" s="123" t="s">
        <v>145</v>
      </c>
      <c r="B12" s="125">
        <v>5.0553714775190273E-3</v>
      </c>
      <c r="C12" s="123">
        <v>247.44499999999999</v>
      </c>
      <c r="D12" s="123">
        <f t="shared" ref="D12:Z12" si="3">C12*1.0225</f>
        <v>253.01251249999999</v>
      </c>
      <c r="E12" s="123">
        <f t="shared" si="3"/>
        <v>258.70529403124999</v>
      </c>
      <c r="F12" s="123">
        <f t="shared" si="3"/>
        <v>264.52616314695308</v>
      </c>
      <c r="G12" s="123">
        <f t="shared" si="3"/>
        <v>270.47800181775949</v>
      </c>
      <c r="H12" s="123">
        <f t="shared" si="3"/>
        <v>276.56375685865908</v>
      </c>
      <c r="I12" s="123">
        <f t="shared" si="3"/>
        <v>282.78644138797887</v>
      </c>
      <c r="J12" s="123">
        <f t="shared" si="3"/>
        <v>289.14913631920837</v>
      </c>
      <c r="K12" s="123">
        <f t="shared" si="3"/>
        <v>295.65499188639052</v>
      </c>
      <c r="L12" s="123">
        <f t="shared" si="3"/>
        <v>302.30722920383431</v>
      </c>
      <c r="M12" s="123">
        <f t="shared" si="3"/>
        <v>309.10914186092054</v>
      </c>
      <c r="N12" s="123">
        <f t="shared" si="3"/>
        <v>316.06409755279122</v>
      </c>
      <c r="O12" s="123">
        <f t="shared" si="3"/>
        <v>323.17553974772903</v>
      </c>
      <c r="P12" s="123">
        <f t="shared" si="3"/>
        <v>330.4469893920529</v>
      </c>
      <c r="Q12" s="123">
        <f t="shared" si="3"/>
        <v>337.88204665337406</v>
      </c>
      <c r="R12" s="123">
        <f t="shared" si="3"/>
        <v>345.48439270307495</v>
      </c>
      <c r="S12" s="123">
        <f t="shared" si="3"/>
        <v>353.25779153889414</v>
      </c>
      <c r="T12" s="123">
        <f t="shared" si="3"/>
        <v>361.20609184851924</v>
      </c>
      <c r="U12" s="123">
        <f t="shared" si="3"/>
        <v>369.33322891511091</v>
      </c>
      <c r="V12" s="123">
        <f t="shared" si="3"/>
        <v>377.6432265657009</v>
      </c>
      <c r="W12" s="123">
        <f t="shared" si="3"/>
        <v>386.14019916342914</v>
      </c>
      <c r="X12" s="123">
        <f t="shared" si="3"/>
        <v>394.8283536446063</v>
      </c>
      <c r="Y12" s="123">
        <f t="shared" si="3"/>
        <v>403.7119916016099</v>
      </c>
      <c r="Z12" s="123">
        <f t="shared" si="3"/>
        <v>412.79551141264608</v>
      </c>
      <c r="AA12" s="124"/>
      <c r="AB12" s="124"/>
      <c r="AC12" s="124"/>
      <c r="AD12" s="124"/>
      <c r="AE12" s="124"/>
      <c r="AF12" s="124"/>
      <c r="AG12" s="124"/>
      <c r="AH12" s="124"/>
      <c r="AI12" s="124"/>
      <c r="AJ12" s="124"/>
    </row>
    <row r="13" spans="1:75" s="128" customFormat="1" ht="15.75" x14ac:dyDescent="0.25">
      <c r="A13" s="123" t="s">
        <v>39</v>
      </c>
      <c r="B13" s="125">
        <v>1.5741321963765462</v>
      </c>
      <c r="C13" s="129" t="e">
        <f t="shared" ref="C13:Z13" ca="1" si="4">ROUND($B$13+$B$11*C11+$B$12*C12,3)</f>
        <v>#NAME?</v>
      </c>
      <c r="D13" s="129" t="e">
        <f t="shared" ca="1" si="4"/>
        <v>#NAME?</v>
      </c>
      <c r="E13" s="129" t="e">
        <f t="shared" ca="1" si="4"/>
        <v>#NAME?</v>
      </c>
      <c r="F13" s="129" t="e">
        <f t="shared" ca="1" si="4"/>
        <v>#NAME?</v>
      </c>
      <c r="G13" s="129" t="e">
        <f t="shared" ca="1" si="4"/>
        <v>#NAME?</v>
      </c>
      <c r="H13" s="129" t="e">
        <f t="shared" ca="1" si="4"/>
        <v>#NAME?</v>
      </c>
      <c r="I13" s="129" t="e">
        <f t="shared" ca="1" si="4"/>
        <v>#NAME?</v>
      </c>
      <c r="J13" s="129" t="e">
        <f t="shared" ca="1" si="4"/>
        <v>#NAME?</v>
      </c>
      <c r="K13" s="129" t="e">
        <f t="shared" ca="1" si="4"/>
        <v>#NAME?</v>
      </c>
      <c r="L13" s="129" t="e">
        <f t="shared" ca="1" si="4"/>
        <v>#NAME?</v>
      </c>
      <c r="M13" s="129" t="e">
        <f t="shared" ca="1" si="4"/>
        <v>#NAME?</v>
      </c>
      <c r="N13" s="129" t="e">
        <f t="shared" ca="1" si="4"/>
        <v>#NAME?</v>
      </c>
      <c r="O13" s="129" t="e">
        <f t="shared" ca="1" si="4"/>
        <v>#NAME?</v>
      </c>
      <c r="P13" s="129" t="e">
        <f t="shared" ca="1" si="4"/>
        <v>#NAME?</v>
      </c>
      <c r="Q13" s="129" t="e">
        <f t="shared" ca="1" si="4"/>
        <v>#NAME?</v>
      </c>
      <c r="R13" s="129" t="e">
        <f t="shared" ca="1" si="4"/>
        <v>#NAME?</v>
      </c>
      <c r="S13" s="129" t="e">
        <f t="shared" ca="1" si="4"/>
        <v>#NAME?</v>
      </c>
      <c r="T13" s="129" t="e">
        <f t="shared" ca="1" si="4"/>
        <v>#NAME?</v>
      </c>
      <c r="U13" s="129" t="e">
        <f t="shared" ca="1" si="4"/>
        <v>#NAME?</v>
      </c>
      <c r="V13" s="129" t="e">
        <f t="shared" ca="1" si="4"/>
        <v>#NAME?</v>
      </c>
      <c r="W13" s="129" t="e">
        <f t="shared" ca="1" si="4"/>
        <v>#NAME?</v>
      </c>
      <c r="X13" s="129" t="e">
        <f t="shared" ca="1" si="4"/>
        <v>#NAME?</v>
      </c>
      <c r="Y13" s="129" t="e">
        <f t="shared" ca="1" si="4"/>
        <v>#NAME?</v>
      </c>
      <c r="Z13" s="129" t="e">
        <f t="shared" ca="1" si="4"/>
        <v>#NAME?</v>
      </c>
      <c r="AA13" s="130"/>
      <c r="AB13" s="130"/>
      <c r="AC13" s="130"/>
      <c r="AD13" s="130"/>
      <c r="AE13" s="130"/>
      <c r="AF13" s="130"/>
      <c r="AG13" s="130"/>
      <c r="AH13" s="130"/>
      <c r="AI13" s="131"/>
      <c r="AJ13" s="131"/>
    </row>
    <row r="14" spans="1:75" s="128" customFormat="1" x14ac:dyDescent="0.2">
      <c r="A14" s="127" t="s">
        <v>146</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BV14" s="132"/>
      <c r="BW14" s="133"/>
    </row>
    <row r="15" spans="1:75" s="128" customFormat="1" x14ac:dyDescent="0.2">
      <c r="A15" s="134" t="s">
        <v>147</v>
      </c>
      <c r="C15" s="131" t="e">
        <f t="shared" ref="C15:Y15" ca="1" si="5">C13</f>
        <v>#NAME?</v>
      </c>
      <c r="D15" s="131" t="e">
        <f t="shared" ca="1" si="5"/>
        <v>#NAME?</v>
      </c>
      <c r="E15" s="131" t="e">
        <f t="shared" ca="1" si="5"/>
        <v>#NAME?</v>
      </c>
      <c r="F15" s="131" t="e">
        <f t="shared" ca="1" si="5"/>
        <v>#NAME?</v>
      </c>
      <c r="G15" s="131" t="e">
        <f t="shared" ca="1" si="5"/>
        <v>#NAME?</v>
      </c>
      <c r="H15" s="131" t="e">
        <f t="shared" ca="1" si="5"/>
        <v>#NAME?</v>
      </c>
      <c r="I15" s="131" t="e">
        <f t="shared" ca="1" si="5"/>
        <v>#NAME?</v>
      </c>
      <c r="J15" s="131" t="e">
        <f t="shared" ca="1" si="5"/>
        <v>#NAME?</v>
      </c>
      <c r="K15" s="131" t="e">
        <f t="shared" ca="1" si="5"/>
        <v>#NAME?</v>
      </c>
      <c r="L15" s="131" t="e">
        <f t="shared" ca="1" si="5"/>
        <v>#NAME?</v>
      </c>
      <c r="M15" s="131" t="e">
        <f t="shared" ca="1" si="5"/>
        <v>#NAME?</v>
      </c>
      <c r="N15" s="131" t="e">
        <f t="shared" ca="1" si="5"/>
        <v>#NAME?</v>
      </c>
      <c r="O15" s="131" t="e">
        <f t="shared" ca="1" si="5"/>
        <v>#NAME?</v>
      </c>
      <c r="P15" s="131" t="e">
        <f t="shared" ca="1" si="5"/>
        <v>#NAME?</v>
      </c>
      <c r="Q15" s="131" t="e">
        <f t="shared" ca="1" si="5"/>
        <v>#NAME?</v>
      </c>
      <c r="R15" s="131" t="e">
        <f t="shared" ca="1" si="5"/>
        <v>#NAME?</v>
      </c>
      <c r="S15" s="131" t="e">
        <f t="shared" ca="1" si="5"/>
        <v>#NAME?</v>
      </c>
      <c r="T15" s="131" t="e">
        <f t="shared" ca="1" si="5"/>
        <v>#NAME?</v>
      </c>
      <c r="U15" s="131" t="e">
        <f t="shared" ca="1" si="5"/>
        <v>#NAME?</v>
      </c>
      <c r="V15" s="131" t="e">
        <f t="shared" ca="1" si="5"/>
        <v>#NAME?</v>
      </c>
      <c r="W15" s="131" t="e">
        <f t="shared" ca="1" si="5"/>
        <v>#NAME?</v>
      </c>
      <c r="X15" s="131" t="e">
        <f t="shared" ca="1" si="5"/>
        <v>#NAME?</v>
      </c>
      <c r="Y15" s="131" t="e">
        <f t="shared" ca="1" si="5"/>
        <v>#NAME?</v>
      </c>
      <c r="Z15" s="131" t="e">
        <f ca="1">Z13</f>
        <v>#NAME?</v>
      </c>
      <c r="AA15" s="131"/>
      <c r="AB15" s="131"/>
      <c r="AC15" s="131"/>
      <c r="AD15" s="131"/>
      <c r="AE15" s="131"/>
      <c r="AF15" s="131"/>
      <c r="AG15" s="131"/>
      <c r="AH15" s="131"/>
      <c r="AI15" s="131"/>
      <c r="AJ15" s="131"/>
      <c r="BV15" s="132"/>
      <c r="BW15" s="133"/>
    </row>
    <row r="16" spans="1:75" s="128" customFormat="1" x14ac:dyDescent="0.2">
      <c r="A16" s="134" t="s">
        <v>148</v>
      </c>
      <c r="C16" s="135">
        <v>6.7343190085918554</v>
      </c>
      <c r="D16" s="135">
        <v>6.9211246928341037</v>
      </c>
      <c r="E16" s="135">
        <v>7.2270328756260671</v>
      </c>
      <c r="F16" s="135">
        <v>7.7295851586191606</v>
      </c>
      <c r="G16" s="135">
        <v>8.4485297958943146</v>
      </c>
      <c r="H16" s="135">
        <v>9.2860169527904084</v>
      </c>
      <c r="I16" s="135">
        <v>10.22066161293772</v>
      </c>
      <c r="J16" s="135">
        <v>11.286734415613171</v>
      </c>
      <c r="K16" s="131">
        <v>12.473812852416515</v>
      </c>
      <c r="L16" s="131">
        <v>13.74800965478471</v>
      </c>
      <c r="M16" s="131">
        <v>15.070228891645728</v>
      </c>
      <c r="N16" s="131">
        <v>16.469850222371928</v>
      </c>
      <c r="O16" s="131">
        <v>18.007467936182671</v>
      </c>
      <c r="P16" s="131">
        <v>19.657312961332543</v>
      </c>
      <c r="Q16" s="131">
        <v>21.370019491056169</v>
      </c>
      <c r="R16" s="131">
        <v>23.174322121500484</v>
      </c>
      <c r="S16" s="131">
        <v>25.139942556835852</v>
      </c>
      <c r="T16" s="131">
        <v>27.249086687604326</v>
      </c>
      <c r="U16" s="131">
        <v>29.434183011141151</v>
      </c>
      <c r="V16" s="131">
        <v>31.723816949170732</v>
      </c>
      <c r="W16" s="131">
        <v>34.223042697627946</v>
      </c>
      <c r="X16" s="131">
        <v>36.924785869399074</v>
      </c>
      <c r="Y16" s="131">
        <v>39.743648619203157</v>
      </c>
      <c r="Z16" s="131">
        <v>58.894531135048581</v>
      </c>
      <c r="AA16" s="131"/>
      <c r="AB16" s="131"/>
      <c r="AC16" s="131"/>
      <c r="AD16" s="131"/>
      <c r="AE16" s="131"/>
      <c r="AF16" s="131"/>
      <c r="AG16" s="131"/>
      <c r="AH16" s="131"/>
      <c r="AI16" s="131"/>
      <c r="AJ16" s="131"/>
      <c r="BV16" s="132"/>
      <c r="BW16" s="133"/>
    </row>
    <row r="17" spans="1:75" s="128" customFormat="1" x14ac:dyDescent="0.2">
      <c r="A17" s="134" t="s">
        <v>149</v>
      </c>
      <c r="C17" s="131">
        <v>0.54149899797033507</v>
      </c>
      <c r="D17" s="131">
        <v>0.54892211495907284</v>
      </c>
      <c r="E17" s="131">
        <v>0.56125481033179592</v>
      </c>
      <c r="F17" s="131">
        <v>0.59196879475291864</v>
      </c>
      <c r="G17" s="131">
        <v>0.64812961451211237</v>
      </c>
      <c r="H17" s="131">
        <v>0.70578838892222218</v>
      </c>
      <c r="I17" s="131">
        <v>0.77073748772835715</v>
      </c>
      <c r="J17" s="131">
        <v>0.84398968150295417</v>
      </c>
      <c r="K17" s="131">
        <v>0.92664421762187876</v>
      </c>
      <c r="L17" s="131">
        <v>1.0118107268715837</v>
      </c>
      <c r="M17" s="131">
        <v>1.1004264304313867</v>
      </c>
      <c r="N17" s="131">
        <v>1.1898377090067036</v>
      </c>
      <c r="O17" s="131">
        <v>1.2917196403794169</v>
      </c>
      <c r="P17" s="131">
        <v>1.3973732699792514</v>
      </c>
      <c r="Q17" s="131">
        <v>1.5067350828283574</v>
      </c>
      <c r="R17" s="131">
        <v>1.6152122182919753</v>
      </c>
      <c r="S17" s="131">
        <v>1.7410362858771562</v>
      </c>
      <c r="T17" s="131">
        <v>1.8725625106842729</v>
      </c>
      <c r="U17" s="131">
        <v>2.008790769277824</v>
      </c>
      <c r="V17" s="131">
        <v>2.1437294055961758</v>
      </c>
      <c r="W17" s="131">
        <v>2.3031437898176375</v>
      </c>
      <c r="X17" s="131">
        <v>2.4723567724813278</v>
      </c>
      <c r="Y17" s="131">
        <v>2.6490629998612487</v>
      </c>
      <c r="Z17" s="131">
        <v>2.8259153825251011</v>
      </c>
      <c r="AA17" s="131"/>
      <c r="AB17" s="131"/>
      <c r="AC17" s="131"/>
      <c r="AD17" s="131"/>
      <c r="AE17" s="131"/>
      <c r="AF17" s="131"/>
      <c r="AG17" s="131"/>
      <c r="AH17" s="131"/>
      <c r="AI17" s="131"/>
      <c r="AJ17" s="131"/>
      <c r="BV17" s="132"/>
      <c r="BW17" s="133"/>
    </row>
    <row r="18" spans="1:75" s="128" customFormat="1" x14ac:dyDescent="0.2">
      <c r="A18" s="134" t="s">
        <v>150</v>
      </c>
      <c r="C18" s="131">
        <v>0.23436925073309248</v>
      </c>
      <c r="D18" s="131">
        <v>0.26294492695342447</v>
      </c>
      <c r="E18" s="131">
        <v>0.27993430070668618</v>
      </c>
      <c r="F18" s="131">
        <v>0.29292027671746673</v>
      </c>
      <c r="G18" s="131">
        <v>0.32158176828334756</v>
      </c>
      <c r="H18" s="131">
        <v>0.33204861476474007</v>
      </c>
      <c r="I18" s="131">
        <v>0.34049427510451835</v>
      </c>
      <c r="J18" s="131">
        <v>0.35312180497279533</v>
      </c>
      <c r="K18" s="131">
        <v>0.36591069137676097</v>
      </c>
      <c r="L18" s="131">
        <v>0.37508951930708634</v>
      </c>
      <c r="M18" s="131">
        <v>0.38448192168753903</v>
      </c>
      <c r="N18" s="131">
        <v>0.39464698903358419</v>
      </c>
      <c r="O18" s="131">
        <v>0.40464693643215455</v>
      </c>
      <c r="P18" s="131">
        <v>0.41462070899790321</v>
      </c>
      <c r="Q18" s="131">
        <v>0.42462861797310897</v>
      </c>
      <c r="R18" s="131">
        <v>0.43472954743736075</v>
      </c>
      <c r="S18" s="131">
        <v>0.44501660740781501</v>
      </c>
      <c r="T18" s="131">
        <v>0.4555258920538765</v>
      </c>
      <c r="U18" s="131">
        <v>0.46623720312011885</v>
      </c>
      <c r="V18" s="131">
        <v>0.47716566543926814</v>
      </c>
      <c r="W18" s="131">
        <v>0.48838387299995178</v>
      </c>
      <c r="X18" s="131">
        <v>0.4999050003358555</v>
      </c>
      <c r="Y18" s="131">
        <v>0.51167863330841634</v>
      </c>
      <c r="Z18" s="131">
        <v>0.52370872864353801</v>
      </c>
      <c r="AA18" s="131"/>
      <c r="AB18" s="131"/>
      <c r="AC18" s="131"/>
      <c r="AD18" s="131"/>
      <c r="AE18" s="131"/>
      <c r="AF18" s="131"/>
      <c r="AG18" s="131"/>
      <c r="AH18" s="131"/>
      <c r="AI18" s="131"/>
      <c r="AJ18" s="131"/>
      <c r="BV18" s="132"/>
      <c r="BW18" s="133"/>
    </row>
    <row r="19" spans="1:75" s="128" customFormat="1" x14ac:dyDescent="0.2">
      <c r="A19" s="134" t="s">
        <v>151</v>
      </c>
      <c r="C19" s="131">
        <v>0.27785226801694268</v>
      </c>
      <c r="D19" s="131">
        <v>0.30901557831071641</v>
      </c>
      <c r="E19" s="131">
        <v>0.33534547922334718</v>
      </c>
      <c r="F19" s="131">
        <v>0.34221527920832018</v>
      </c>
      <c r="G19" s="131">
        <v>0.37631849817839452</v>
      </c>
      <c r="H19" s="131">
        <v>0.39031369055220722</v>
      </c>
      <c r="I19" s="131">
        <v>0.40073457085078767</v>
      </c>
      <c r="J19" s="131">
        <v>0.41399353581664505</v>
      </c>
      <c r="K19" s="131">
        <v>0.42810330720162815</v>
      </c>
      <c r="L19" s="131">
        <v>0.43791185328948357</v>
      </c>
      <c r="M19" s="131">
        <v>0.44783671509183925</v>
      </c>
      <c r="N19" s="131">
        <v>0.45788459795460812</v>
      </c>
      <c r="O19" s="131">
        <v>0.46803725868373897</v>
      </c>
      <c r="P19" s="131">
        <v>0.47830942045668745</v>
      </c>
      <c r="Q19" s="131">
        <v>0.48876918724593388</v>
      </c>
      <c r="R19" s="131">
        <v>0.49943321299428139</v>
      </c>
      <c r="S19" s="131">
        <v>0.51023731139861617</v>
      </c>
      <c r="T19" s="131">
        <v>0.5211920561907939</v>
      </c>
      <c r="U19" s="131">
        <v>0.53237832863733303</v>
      </c>
      <c r="V19" s="131">
        <v>0.54381129648854831</v>
      </c>
      <c r="W19" s="131">
        <v>0.555408101666785</v>
      </c>
      <c r="X19" s="131">
        <v>0.56717470971762796</v>
      </c>
      <c r="Y19" s="131">
        <v>0.57921231929190076</v>
      </c>
      <c r="Z19" s="131">
        <v>0.59153571289311102</v>
      </c>
      <c r="AA19" s="131"/>
      <c r="AB19" s="131"/>
      <c r="AC19" s="131"/>
      <c r="AD19" s="131"/>
      <c r="AE19" s="131"/>
      <c r="AF19" s="131"/>
      <c r="AG19" s="131"/>
      <c r="AH19" s="131"/>
      <c r="AI19" s="131"/>
      <c r="AJ19" s="131"/>
      <c r="BV19" s="132"/>
      <c r="BW19" s="133"/>
    </row>
    <row r="20" spans="1:75" s="128" customFormat="1" x14ac:dyDescent="0.2">
      <c r="A20" s="137" t="s">
        <v>152</v>
      </c>
      <c r="B20" s="138"/>
      <c r="C20" s="139">
        <v>11.160436885426911</v>
      </c>
      <c r="D20" s="139">
        <v>11.506334388940154</v>
      </c>
      <c r="E20" s="139">
        <v>11.956843575691098</v>
      </c>
      <c r="F20" s="139">
        <v>12.559942258343796</v>
      </c>
      <c r="G20" s="139">
        <v>13.491738581851374</v>
      </c>
      <c r="H20" s="139">
        <v>14.464317771885922</v>
      </c>
      <c r="I20" s="139">
        <v>15.531755874577616</v>
      </c>
      <c r="J20" s="139">
        <v>16.755936909831142</v>
      </c>
      <c r="K20" s="139">
        <v>18.112536893679717</v>
      </c>
      <c r="L20" s="139">
        <v>19.543865240252561</v>
      </c>
      <c r="M20" s="139">
        <v>21.027994717669912</v>
      </c>
      <c r="N20" s="139">
        <v>22.592216496199647</v>
      </c>
      <c r="O20" s="139">
        <v>24.308845039524002</v>
      </c>
      <c r="P20" s="139">
        <v>26.141565808825259</v>
      </c>
      <c r="Q20" s="139">
        <v>28.044077746491631</v>
      </c>
      <c r="R20" s="139">
        <v>30.037598037185546</v>
      </c>
      <c r="S20" s="139">
        <v>32.211108884269066</v>
      </c>
      <c r="T20" s="139">
        <v>34.536218016380076</v>
      </c>
      <c r="U20" s="139">
        <v>36.944414419034487</v>
      </c>
      <c r="V20" s="139">
        <v>39.457322114838263</v>
      </c>
      <c r="W20" s="139">
        <v>42.205750417891451</v>
      </c>
      <c r="X20" s="139">
        <v>45.168966909180028</v>
      </c>
      <c r="Y20" s="139">
        <v>48.259319114460176</v>
      </c>
      <c r="Z20" s="139">
        <v>67.683378849490282</v>
      </c>
      <c r="AA20" s="131"/>
      <c r="AB20" s="131"/>
      <c r="AC20" s="131"/>
      <c r="AD20" s="131"/>
      <c r="AE20" s="131"/>
      <c r="AF20" s="131"/>
      <c r="AG20" s="131"/>
      <c r="AH20" s="131"/>
      <c r="AI20" s="131"/>
      <c r="AJ20" s="131"/>
      <c r="BV20" s="132"/>
      <c r="BW20" s="133"/>
    </row>
    <row r="21" spans="1:75" s="141" customFormat="1" x14ac:dyDescent="0.2">
      <c r="A21" s="127" t="s">
        <v>153</v>
      </c>
      <c r="C21" s="142" t="e">
        <f t="shared" ref="C21:Z21" ca="1" si="6">C9-C20</f>
        <v>#NAME?</v>
      </c>
      <c r="D21" s="142" t="e">
        <f t="shared" ca="1" si="6"/>
        <v>#NAME?</v>
      </c>
      <c r="E21" s="142" t="e">
        <f t="shared" ca="1" si="6"/>
        <v>#NAME?</v>
      </c>
      <c r="F21" s="142" t="e">
        <f t="shared" ca="1" si="6"/>
        <v>#NAME?</v>
      </c>
      <c r="G21" s="142" t="e">
        <f t="shared" ca="1" si="6"/>
        <v>#NAME?</v>
      </c>
      <c r="H21" s="142" t="e">
        <f t="shared" ca="1" si="6"/>
        <v>#NAME?</v>
      </c>
      <c r="I21" s="142" t="e">
        <f t="shared" ca="1" si="6"/>
        <v>#NAME?</v>
      </c>
      <c r="J21" s="142" t="e">
        <f t="shared" ca="1" si="6"/>
        <v>#NAME?</v>
      </c>
      <c r="K21" s="142" t="e">
        <f t="shared" ca="1" si="6"/>
        <v>#NAME?</v>
      </c>
      <c r="L21" s="142" t="e">
        <f t="shared" ca="1" si="6"/>
        <v>#NAME?</v>
      </c>
      <c r="M21" s="142" t="e">
        <f t="shared" ca="1" si="6"/>
        <v>#NAME?</v>
      </c>
      <c r="N21" s="142" t="e">
        <f t="shared" ca="1" si="6"/>
        <v>#NAME?</v>
      </c>
      <c r="O21" s="142" t="e">
        <f t="shared" ca="1" si="6"/>
        <v>#NAME?</v>
      </c>
      <c r="P21" s="142" t="e">
        <f t="shared" ca="1" si="6"/>
        <v>#NAME?</v>
      </c>
      <c r="Q21" s="142" t="e">
        <f t="shared" ca="1" si="6"/>
        <v>#NAME?</v>
      </c>
      <c r="R21" s="142" t="e">
        <f t="shared" ca="1" si="6"/>
        <v>#NAME?</v>
      </c>
      <c r="S21" s="142" t="e">
        <f t="shared" ca="1" si="6"/>
        <v>#NAME?</v>
      </c>
      <c r="T21" s="142" t="e">
        <f t="shared" ca="1" si="6"/>
        <v>#NAME?</v>
      </c>
      <c r="U21" s="142" t="e">
        <f t="shared" ca="1" si="6"/>
        <v>#NAME?</v>
      </c>
      <c r="V21" s="142" t="e">
        <f t="shared" ca="1" si="6"/>
        <v>#NAME?</v>
      </c>
      <c r="W21" s="142" t="e">
        <f t="shared" ca="1" si="6"/>
        <v>#NAME?</v>
      </c>
      <c r="X21" s="142" t="e">
        <f t="shared" ca="1" si="6"/>
        <v>#NAME?</v>
      </c>
      <c r="Y21" s="142" t="e">
        <f t="shared" ca="1" si="6"/>
        <v>#NAME?</v>
      </c>
      <c r="Z21" s="142" t="e">
        <f t="shared" ca="1" si="6"/>
        <v>#NAME?</v>
      </c>
      <c r="AA21" s="142"/>
      <c r="AB21" s="142"/>
      <c r="AC21" s="142"/>
      <c r="AD21" s="142"/>
      <c r="AE21" s="142"/>
      <c r="AF21" s="142"/>
      <c r="AG21" s="142"/>
      <c r="AH21" s="142"/>
      <c r="AI21" s="142"/>
      <c r="AJ21" s="142"/>
      <c r="BV21" s="144"/>
      <c r="BW21" s="145"/>
    </row>
    <row r="22" spans="1:75" s="128" customFormat="1" x14ac:dyDescent="0.2">
      <c r="A22" s="137"/>
      <c r="C22" s="135"/>
      <c r="D22" s="135"/>
      <c r="E22" s="135"/>
      <c r="F22" s="135"/>
      <c r="G22" s="135"/>
      <c r="H22" s="135"/>
      <c r="I22" s="135"/>
      <c r="J22" s="135"/>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BV22" s="132"/>
      <c r="BW22" s="133"/>
    </row>
    <row r="23" spans="1:75" s="128" customFormat="1" x14ac:dyDescent="0.2">
      <c r="A23" s="137" t="s">
        <v>154</v>
      </c>
      <c r="C23" s="140">
        <v>0.87490804355671759</v>
      </c>
      <c r="D23" s="140">
        <v>0.88749807049368001</v>
      </c>
      <c r="E23" s="140">
        <v>0.8927531621317335</v>
      </c>
      <c r="F23" s="140">
        <v>0.91235825851615737</v>
      </c>
      <c r="G23" s="140">
        <v>0.95193715230667364</v>
      </c>
      <c r="H23" s="140">
        <v>0.99145656792422243</v>
      </c>
      <c r="I23" s="140">
        <v>1.0264432523486384</v>
      </c>
      <c r="J23" s="140">
        <v>1.0555968156568012</v>
      </c>
      <c r="K23" s="139">
        <v>1.0855755413838175</v>
      </c>
      <c r="L23" s="139">
        <v>1.1156112803040625</v>
      </c>
      <c r="M23" s="139">
        <v>1.1458135256599209</v>
      </c>
      <c r="N23" s="139">
        <v>1.176876717208772</v>
      </c>
      <c r="O23" s="139">
        <v>1.2077194051081763</v>
      </c>
      <c r="P23" s="139">
        <v>1.2385590221244764</v>
      </c>
      <c r="Q23" s="139">
        <v>1.269639473897894</v>
      </c>
      <c r="R23" s="139">
        <v>1.301088087398323</v>
      </c>
      <c r="S23" s="139">
        <v>1.3328469508720504</v>
      </c>
      <c r="T23" s="139">
        <v>1.3649849749915373</v>
      </c>
      <c r="U23" s="139">
        <v>1.39768929709593</v>
      </c>
      <c r="V23" s="139">
        <v>1.4310232264792015</v>
      </c>
      <c r="W23" s="139">
        <v>1.464838897738352</v>
      </c>
      <c r="X23" s="139">
        <v>1.499168363624229</v>
      </c>
      <c r="Y23" s="139">
        <v>1.5342182879021311</v>
      </c>
      <c r="Z23" s="139">
        <v>1.5700344351012658</v>
      </c>
      <c r="AA23" s="131"/>
      <c r="AB23" s="131"/>
      <c r="AC23" s="131"/>
      <c r="AD23" s="131"/>
      <c r="AE23" s="131"/>
      <c r="AF23" s="131"/>
      <c r="AG23" s="131"/>
      <c r="AH23" s="131"/>
      <c r="AI23" s="131"/>
      <c r="AJ23" s="131"/>
      <c r="BV23" s="132"/>
      <c r="BW23" s="133"/>
    </row>
    <row r="24" spans="1:75" s="141" customFormat="1" x14ac:dyDescent="0.2">
      <c r="A24" s="127" t="s">
        <v>155</v>
      </c>
      <c r="C24" s="147" t="e">
        <f t="shared" ref="C24:Z24" ca="1" si="7">C21-C23</f>
        <v>#NAME?</v>
      </c>
      <c r="D24" s="147" t="e">
        <f t="shared" ca="1" si="7"/>
        <v>#NAME?</v>
      </c>
      <c r="E24" s="147" t="e">
        <f t="shared" ca="1" si="7"/>
        <v>#NAME?</v>
      </c>
      <c r="F24" s="147" t="e">
        <f t="shared" ca="1" si="7"/>
        <v>#NAME?</v>
      </c>
      <c r="G24" s="147" t="e">
        <f t="shared" ca="1" si="7"/>
        <v>#NAME?</v>
      </c>
      <c r="H24" s="147" t="e">
        <f t="shared" ca="1" si="7"/>
        <v>#NAME?</v>
      </c>
      <c r="I24" s="147" t="e">
        <f t="shared" ca="1" si="7"/>
        <v>#NAME?</v>
      </c>
      <c r="J24" s="147" t="e">
        <f t="shared" ca="1" si="7"/>
        <v>#NAME?</v>
      </c>
      <c r="K24" s="147" t="e">
        <f t="shared" ca="1" si="7"/>
        <v>#NAME?</v>
      </c>
      <c r="L24" s="147" t="e">
        <f t="shared" ca="1" si="7"/>
        <v>#NAME?</v>
      </c>
      <c r="M24" s="147" t="e">
        <f t="shared" ca="1" si="7"/>
        <v>#NAME?</v>
      </c>
      <c r="N24" s="147" t="e">
        <f t="shared" ca="1" si="7"/>
        <v>#NAME?</v>
      </c>
      <c r="O24" s="147" t="e">
        <f t="shared" ca="1" si="7"/>
        <v>#NAME?</v>
      </c>
      <c r="P24" s="147" t="e">
        <f t="shared" ca="1" si="7"/>
        <v>#NAME?</v>
      </c>
      <c r="Q24" s="147" t="e">
        <f t="shared" ca="1" si="7"/>
        <v>#NAME?</v>
      </c>
      <c r="R24" s="147" t="e">
        <f t="shared" ca="1" si="7"/>
        <v>#NAME?</v>
      </c>
      <c r="S24" s="147" t="e">
        <f t="shared" ca="1" si="7"/>
        <v>#NAME?</v>
      </c>
      <c r="T24" s="147" t="e">
        <f t="shared" ca="1" si="7"/>
        <v>#NAME?</v>
      </c>
      <c r="U24" s="147" t="e">
        <f t="shared" ca="1" si="7"/>
        <v>#NAME?</v>
      </c>
      <c r="V24" s="147" t="e">
        <f t="shared" ca="1" si="7"/>
        <v>#NAME?</v>
      </c>
      <c r="W24" s="147" t="e">
        <f t="shared" ca="1" si="7"/>
        <v>#NAME?</v>
      </c>
      <c r="X24" s="147" t="e">
        <f t="shared" ca="1" si="7"/>
        <v>#NAME?</v>
      </c>
      <c r="Y24" s="147" t="e">
        <f t="shared" ca="1" si="7"/>
        <v>#NAME?</v>
      </c>
      <c r="Z24" s="147" t="e">
        <f t="shared" ca="1" si="7"/>
        <v>#NAME?</v>
      </c>
      <c r="AA24" s="142"/>
      <c r="AB24" s="142"/>
      <c r="AC24" s="142"/>
      <c r="AD24" s="142"/>
      <c r="AE24" s="142"/>
      <c r="AF24" s="142"/>
      <c r="AG24" s="142"/>
      <c r="AH24" s="142"/>
      <c r="AI24" s="142"/>
      <c r="AJ24" s="142"/>
      <c r="BV24" s="144"/>
      <c r="BW24" s="145"/>
    </row>
    <row r="25" spans="1:75" s="149" customFormat="1" x14ac:dyDescent="0.2">
      <c r="A25" s="148"/>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86"/>
      <c r="AJ25" s="86"/>
    </row>
    <row r="26" spans="1:75" s="152" customFormat="1" x14ac:dyDescent="0.2">
      <c r="A26" s="151" t="s">
        <v>156</v>
      </c>
      <c r="C26" s="120" t="s">
        <v>142</v>
      </c>
      <c r="D26" s="120" t="s">
        <v>142</v>
      </c>
      <c r="E26" s="120" t="s">
        <v>142</v>
      </c>
      <c r="F26" s="120" t="s">
        <v>142</v>
      </c>
      <c r="G26" s="120" t="s">
        <v>142</v>
      </c>
      <c r="H26" s="120" t="s">
        <v>142</v>
      </c>
      <c r="I26" s="120" t="s">
        <v>142</v>
      </c>
      <c r="J26" s="120" t="s">
        <v>142</v>
      </c>
      <c r="K26" s="120" t="s">
        <v>142</v>
      </c>
      <c r="L26" s="120" t="s">
        <v>142</v>
      </c>
      <c r="M26" s="120" t="s">
        <v>142</v>
      </c>
      <c r="N26" s="120" t="s">
        <v>142</v>
      </c>
      <c r="O26" s="120" t="s">
        <v>142</v>
      </c>
      <c r="P26" s="120" t="s">
        <v>142</v>
      </c>
      <c r="Q26" s="120" t="s">
        <v>142</v>
      </c>
      <c r="R26" s="120" t="s">
        <v>142</v>
      </c>
      <c r="S26" s="120" t="s">
        <v>142</v>
      </c>
      <c r="T26" s="120" t="s">
        <v>142</v>
      </c>
      <c r="U26" s="120" t="s">
        <v>142</v>
      </c>
      <c r="V26" s="120" t="s">
        <v>142</v>
      </c>
      <c r="W26" s="120" t="s">
        <v>142</v>
      </c>
      <c r="X26" s="120" t="s">
        <v>142</v>
      </c>
      <c r="Y26" s="120" t="s">
        <v>142</v>
      </c>
      <c r="Z26" s="120" t="s">
        <v>142</v>
      </c>
      <c r="AA26" s="153"/>
      <c r="AB26" s="153"/>
      <c r="AC26" s="153"/>
      <c r="AD26" s="153"/>
      <c r="AE26" s="153"/>
      <c r="AF26" s="153"/>
      <c r="AG26" s="153"/>
      <c r="AH26" s="153"/>
      <c r="AI26" s="154"/>
      <c r="AJ26" s="154"/>
    </row>
    <row r="27" spans="1:75" s="156" customFormat="1" ht="15" customHeight="1" x14ac:dyDescent="0.25">
      <c r="A27" s="155" t="s">
        <v>157</v>
      </c>
      <c r="C27" s="125">
        <f t="shared" ref="C27:Z27" si="8">IF(C26="actual",C113,IF(C26="user input",C119,C116))</f>
        <v>0.5048605285827753</v>
      </c>
      <c r="D27" s="125">
        <f t="shared" si="8"/>
        <v>0.49770158660070379</v>
      </c>
      <c r="E27" s="125">
        <f t="shared" si="8"/>
        <v>0.48758446942825645</v>
      </c>
      <c r="F27" s="125">
        <f t="shared" si="8"/>
        <v>0.46047570615626332</v>
      </c>
      <c r="G27" s="125">
        <f t="shared" si="8"/>
        <v>0.42385692616412257</v>
      </c>
      <c r="H27" s="125">
        <f t="shared" si="8"/>
        <v>0.39109103214453245</v>
      </c>
      <c r="I27" s="125">
        <f t="shared" si="8"/>
        <v>0.35979086465446325</v>
      </c>
      <c r="J27" s="125">
        <f t="shared" si="8"/>
        <v>0.32919684206796107</v>
      </c>
      <c r="K27" s="125">
        <f t="shared" si="8"/>
        <v>0.30208759361815918</v>
      </c>
      <c r="L27" s="125">
        <f t="shared" si="8"/>
        <v>0.27804028619088955</v>
      </c>
      <c r="M27" s="125">
        <f t="shared" si="8"/>
        <v>0.25700249435767702</v>
      </c>
      <c r="N27" s="125">
        <f t="shared" si="8"/>
        <v>0.23837795487327157</v>
      </c>
      <c r="O27" s="125">
        <f t="shared" si="8"/>
        <v>0.2215014908183556</v>
      </c>
      <c r="P27" s="125">
        <f t="shared" si="8"/>
        <v>0.20607589503064883</v>
      </c>
      <c r="Q27" s="125">
        <f t="shared" si="8"/>
        <v>0.19243851778034612</v>
      </c>
      <c r="R27" s="125">
        <f t="shared" si="8"/>
        <v>0.18034468536309661</v>
      </c>
      <c r="S27" s="125">
        <f t="shared" si="8"/>
        <v>0.16911257851364422</v>
      </c>
      <c r="T27" s="125">
        <f t="shared" si="8"/>
        <v>0.15861637615908386</v>
      </c>
      <c r="U27" s="125">
        <f t="shared" si="8"/>
        <v>0.14926200574121068</v>
      </c>
      <c r="V27" s="125">
        <f t="shared" si="8"/>
        <v>0.14091029358596918</v>
      </c>
      <c r="W27" s="125">
        <f t="shared" si="8"/>
        <v>0.13301571309333338</v>
      </c>
      <c r="X27" s="125">
        <f t="shared" si="8"/>
        <v>0.1255137242000024</v>
      </c>
      <c r="Y27" s="125">
        <f t="shared" si="8"/>
        <v>0.1188032162364392</v>
      </c>
      <c r="Z27" s="125">
        <f t="shared" si="8"/>
        <v>0.1127935859824189</v>
      </c>
      <c r="AA27" s="157"/>
      <c r="AB27" s="157"/>
      <c r="AC27" s="157"/>
      <c r="AD27" s="157"/>
      <c r="AE27" s="157"/>
      <c r="AF27" s="157"/>
      <c r="AG27" s="157"/>
      <c r="AH27" s="157"/>
      <c r="AI27" s="157"/>
      <c r="AJ27" s="157"/>
    </row>
    <row r="28" spans="1:75" s="152" customFormat="1" ht="12" customHeight="1" x14ac:dyDescent="0.2">
      <c r="A28" s="158" t="s">
        <v>158</v>
      </c>
      <c r="C28" s="159">
        <v>1.4472955958368717E-3</v>
      </c>
      <c r="D28" s="159">
        <v>1.2090227422561243E-3</v>
      </c>
      <c r="E28" s="159">
        <v>1.0163574618052076E-3</v>
      </c>
      <c r="F28" s="159">
        <v>8.5966138062226923E-4</v>
      </c>
      <c r="G28" s="159">
        <v>7.2935649964144694E-4</v>
      </c>
      <c r="H28" s="159">
        <v>6.2019314836329247E-4</v>
      </c>
      <c r="I28" s="159">
        <v>5.3042444984792024E-4</v>
      </c>
      <c r="J28" s="159">
        <v>4.5631352910354534E-4</v>
      </c>
      <c r="K28" s="159">
        <v>3.931995493854339E-4</v>
      </c>
      <c r="L28" s="159">
        <v>3.3910999983914429E-4</v>
      </c>
      <c r="M28" s="159">
        <v>2.9422312387589086E-4</v>
      </c>
      <c r="N28" s="159">
        <v>2.5681405489732677E-4</v>
      </c>
      <c r="O28" s="159">
        <v>2.2431436004070589E-4</v>
      </c>
      <c r="P28" s="159">
        <v>1.9589968701892474E-4</v>
      </c>
      <c r="Q28" s="159">
        <v>1.721517466331069E-4</v>
      </c>
      <c r="R28" s="159">
        <v>1.5221012329762014E-4</v>
      </c>
      <c r="S28" s="159">
        <v>1.3456088435915732E-4</v>
      </c>
      <c r="T28" s="159">
        <v>1.1884158533056719E-4</v>
      </c>
      <c r="U28" s="159">
        <v>1.056245559496895E-4</v>
      </c>
      <c r="V28" s="159">
        <v>9.4453022110737773E-5</v>
      </c>
      <c r="W28" s="159">
        <v>8.4391278613129162E-5</v>
      </c>
      <c r="X28" s="159">
        <v>7.527190963123468E-5</v>
      </c>
      <c r="Y28" s="159">
        <v>6.7567593544451122E-5</v>
      </c>
      <c r="Z28" s="159">
        <v>6.1023050439088922E-5</v>
      </c>
      <c r="AA28" s="159"/>
      <c r="AB28" s="159"/>
      <c r="AC28" s="159"/>
      <c r="AD28" s="159"/>
      <c r="AE28" s="159"/>
      <c r="AF28" s="159"/>
      <c r="AG28" s="159"/>
      <c r="AH28" s="159"/>
      <c r="AI28" s="159"/>
      <c r="AJ28" s="159"/>
    </row>
    <row r="29" spans="1:75" s="151" customFormat="1" x14ac:dyDescent="0.2">
      <c r="A29" s="160" t="s">
        <v>159</v>
      </c>
      <c r="C29" s="161">
        <f t="shared" ref="C29:Z29" si="9">C27-C28</f>
        <v>0.50341323298693841</v>
      </c>
      <c r="D29" s="161">
        <f t="shared" si="9"/>
        <v>0.49649256385844764</v>
      </c>
      <c r="E29" s="161">
        <f t="shared" si="9"/>
        <v>0.48656811196645122</v>
      </c>
      <c r="F29" s="161">
        <f t="shared" si="9"/>
        <v>0.45961604477564105</v>
      </c>
      <c r="G29" s="161">
        <f t="shared" si="9"/>
        <v>0.42312756966448112</v>
      </c>
      <c r="H29" s="161">
        <f t="shared" si="9"/>
        <v>0.39047083899616913</v>
      </c>
      <c r="I29" s="161">
        <f t="shared" si="9"/>
        <v>0.35926044020461534</v>
      </c>
      <c r="J29" s="161">
        <f t="shared" si="9"/>
        <v>0.32874052853885755</v>
      </c>
      <c r="K29" s="161">
        <f t="shared" si="9"/>
        <v>0.30169439406877374</v>
      </c>
      <c r="L29" s="161">
        <f t="shared" si="9"/>
        <v>0.27770117619105039</v>
      </c>
      <c r="M29" s="161">
        <f t="shared" si="9"/>
        <v>0.25670827123380113</v>
      </c>
      <c r="N29" s="161">
        <f t="shared" si="9"/>
        <v>0.23812114081837424</v>
      </c>
      <c r="O29" s="161">
        <f t="shared" si="9"/>
        <v>0.22127717645831491</v>
      </c>
      <c r="P29" s="161">
        <f t="shared" si="9"/>
        <v>0.20587999534362991</v>
      </c>
      <c r="Q29" s="161">
        <f t="shared" si="9"/>
        <v>0.19226636603371303</v>
      </c>
      <c r="R29" s="161">
        <f t="shared" si="9"/>
        <v>0.180192475239799</v>
      </c>
      <c r="S29" s="161">
        <f t="shared" si="9"/>
        <v>0.16897801762928508</v>
      </c>
      <c r="T29" s="161">
        <f t="shared" si="9"/>
        <v>0.15849753457375329</v>
      </c>
      <c r="U29" s="161">
        <f t="shared" si="9"/>
        <v>0.14915638118526098</v>
      </c>
      <c r="V29" s="161">
        <f t="shared" si="9"/>
        <v>0.14081584056385846</v>
      </c>
      <c r="W29" s="161">
        <f t="shared" si="9"/>
        <v>0.13293132181472025</v>
      </c>
      <c r="X29" s="161">
        <f t="shared" si="9"/>
        <v>0.12543845229037115</v>
      </c>
      <c r="Y29" s="161">
        <f t="shared" si="9"/>
        <v>0.11873564864289475</v>
      </c>
      <c r="Z29" s="161">
        <f t="shared" si="9"/>
        <v>0.11273256293197981</v>
      </c>
      <c r="AA29" s="161"/>
      <c r="AB29" s="161"/>
      <c r="AC29" s="161"/>
      <c r="AD29" s="161"/>
      <c r="AE29" s="161"/>
      <c r="AF29" s="161"/>
      <c r="AG29" s="161"/>
      <c r="AH29" s="161"/>
      <c r="AI29" s="161"/>
      <c r="AJ29" s="161"/>
    </row>
    <row r="30" spans="1:75" s="152" customFormat="1" x14ac:dyDescent="0.2">
      <c r="A30" s="158" t="s">
        <v>160</v>
      </c>
      <c r="C30" s="162">
        <f t="shared" ref="C30:Z30" si="10">IF(C$26="actual",C29-C31,C29*C46)</f>
        <v>6.2014857481070856E-2</v>
      </c>
      <c r="D30" s="162">
        <f t="shared" si="10"/>
        <v>5.9439148158791102E-2</v>
      </c>
      <c r="E30" s="162">
        <f t="shared" si="10"/>
        <v>5.7787309782611575E-2</v>
      </c>
      <c r="F30" s="162">
        <f t="shared" si="10"/>
        <v>5.4018251395310822E-2</v>
      </c>
      <c r="G30" s="162">
        <f t="shared" si="10"/>
        <v>4.9776145355063584E-2</v>
      </c>
      <c r="H30" s="162">
        <f t="shared" si="10"/>
        <v>4.6003768565121242E-2</v>
      </c>
      <c r="I30" s="162">
        <f t="shared" si="10"/>
        <v>4.2379490382063865E-2</v>
      </c>
      <c r="J30" s="162">
        <f t="shared" si="10"/>
        <v>3.8800212715684644E-2</v>
      </c>
      <c r="K30" s="162">
        <f t="shared" si="10"/>
        <v>3.5624858587602275E-2</v>
      </c>
      <c r="L30" s="162">
        <f t="shared" si="10"/>
        <v>3.2807469669515581E-2</v>
      </c>
      <c r="M30" s="162">
        <f t="shared" si="10"/>
        <v>3.0343045500395596E-2</v>
      </c>
      <c r="N30" s="162">
        <f t="shared" si="10"/>
        <v>2.8160549986982794E-2</v>
      </c>
      <c r="O30" s="162">
        <f t="shared" si="10"/>
        <v>2.6181941405139013E-2</v>
      </c>
      <c r="P30" s="162">
        <f t="shared" si="10"/>
        <v>2.4372285691291695E-2</v>
      </c>
      <c r="Q30" s="162">
        <f t="shared" si="10"/>
        <v>2.2772667199122951E-2</v>
      </c>
      <c r="R30" s="162">
        <f t="shared" si="10"/>
        <v>2.1354106436099293E-2</v>
      </c>
      <c r="S30" s="162">
        <f t="shared" si="10"/>
        <v>2.0035225435030019E-2</v>
      </c>
      <c r="T30" s="162">
        <f t="shared" si="10"/>
        <v>1.8801373737580448E-2</v>
      </c>
      <c r="U30" s="162">
        <f t="shared" si="10"/>
        <v>1.7701582259008249E-2</v>
      </c>
      <c r="V30" s="162">
        <f t="shared" si="10"/>
        <v>1.6719581363098229E-2</v>
      </c>
      <c r="W30" s="162">
        <f t="shared" si="10"/>
        <v>1.5790109833075845E-2</v>
      </c>
      <c r="X30" s="162">
        <f t="shared" si="10"/>
        <v>1.49057463025348E-2</v>
      </c>
      <c r="Y30" s="162">
        <f t="shared" si="10"/>
        <v>1.4114551734385947E-2</v>
      </c>
      <c r="Z30" s="162">
        <f t="shared" si="10"/>
        <v>1.3405902195688128E-2</v>
      </c>
      <c r="AA30" s="159"/>
      <c r="AB30" s="159"/>
      <c r="AC30" s="159"/>
      <c r="AD30" s="159"/>
      <c r="AE30" s="159"/>
      <c r="AF30" s="159"/>
      <c r="AG30" s="159"/>
      <c r="AH30" s="159"/>
      <c r="AI30" s="159"/>
      <c r="AJ30" s="159"/>
      <c r="BV30" s="163"/>
      <c r="BW30" s="164"/>
    </row>
    <row r="31" spans="1:75" s="151" customFormat="1" x14ac:dyDescent="0.2">
      <c r="A31" s="165" t="s">
        <v>161</v>
      </c>
      <c r="C31" s="161">
        <f>IF(C$26="actual",#REF!,C29*(1-C46))</f>
        <v>0.44139837550586752</v>
      </c>
      <c r="D31" s="161">
        <f>IF(D$26="actual",#REF!,D29*(1-D46))</f>
        <v>0.43705341569965656</v>
      </c>
      <c r="E31" s="161">
        <f>IF(E$26="actual",#REF!,E29*(1-E46))</f>
        <v>0.42878080218383968</v>
      </c>
      <c r="F31" s="161">
        <f>IF(F$26="actual",#REF!,F29*(1-F46))</f>
        <v>0.40559779338033025</v>
      </c>
      <c r="G31" s="161">
        <f>IF(G$26="actual",#REF!,G29*(1-G46))</f>
        <v>0.37335142430941753</v>
      </c>
      <c r="H31" s="161">
        <f>IF(H$26="actual",#REF!,H29*(1-H46))</f>
        <v>0.34446707043104791</v>
      </c>
      <c r="I31" s="161">
        <f>IF(I$26="actual",#REF!,I29*(1-I46))</f>
        <v>0.31688094982255149</v>
      </c>
      <c r="J31" s="161">
        <f>IF(J$26="actual",#REF!,J29*(1-J46))</f>
        <v>0.28994031582317292</v>
      </c>
      <c r="K31" s="161">
        <f>IF(K$26="actual",#REF!,K29*(1-K46))</f>
        <v>0.26606953548117146</v>
      </c>
      <c r="L31" s="161">
        <f>IF(L$26="actual",#REF!,L29*(1-L46))</f>
        <v>0.2448937065215348</v>
      </c>
      <c r="M31" s="161">
        <f>IF(M$26="actual",#REF!,M29*(1-M46))</f>
        <v>0.22636522573340553</v>
      </c>
      <c r="N31" s="161">
        <f>IF(N$26="actual",#REF!,N29*(1-N46))</f>
        <v>0.20996059083139146</v>
      </c>
      <c r="O31" s="161">
        <f>IF(O$26="actual",#REF!,O29*(1-O46))</f>
        <v>0.19509523505317591</v>
      </c>
      <c r="P31" s="161">
        <f>IF(P$26="actual",#REF!,P29*(1-P46))</f>
        <v>0.1815077096523382</v>
      </c>
      <c r="Q31" s="161">
        <f>IF(Q$26="actual",#REF!,Q29*(1-Q46))</f>
        <v>0.16949369883459009</v>
      </c>
      <c r="R31" s="161">
        <f>IF(R$26="actual",#REF!,R29*(1-R46))</f>
        <v>0.15883836880369973</v>
      </c>
      <c r="S31" s="161">
        <f>IF(S$26="actual",#REF!,S29*(1-S46))</f>
        <v>0.14894279219425505</v>
      </c>
      <c r="T31" s="161">
        <f>IF(T$26="actual",#REF!,T29*(1-T46))</f>
        <v>0.13969616083617284</v>
      </c>
      <c r="U31" s="161">
        <f>IF(U$26="actual",#REF!,U29*(1-U46))</f>
        <v>0.13145479892625272</v>
      </c>
      <c r="V31" s="161">
        <f>IF(V$26="actual",#REF!,V29*(1-V46))</f>
        <v>0.12409625920076023</v>
      </c>
      <c r="W31" s="161">
        <f>IF(W$26="actual",#REF!,W29*(1-W46))</f>
        <v>0.11714121198164441</v>
      </c>
      <c r="X31" s="161">
        <f>IF(X$26="actual",#REF!,X29*(1-X46))</f>
        <v>0.11053270598783635</v>
      </c>
      <c r="Y31" s="161">
        <f>IF(Y$26="actual",#REF!,Y29*(1-Y46))</f>
        <v>0.10462109690850881</v>
      </c>
      <c r="Z31" s="161">
        <f>IF(Z$26="actual",#REF!,Z29*(1-Z46))</f>
        <v>9.9326660736291678E-2</v>
      </c>
      <c r="AA31" s="161"/>
      <c r="AB31" s="161"/>
      <c r="AC31" s="161"/>
      <c r="AD31" s="161"/>
      <c r="AE31" s="161"/>
      <c r="AF31" s="161"/>
      <c r="AG31" s="161"/>
      <c r="AH31" s="161"/>
      <c r="AI31" s="161"/>
      <c r="AJ31" s="161"/>
      <c r="BV31" s="166"/>
      <c r="BW31" s="167"/>
    </row>
    <row r="32" spans="1:75" s="151" customFormat="1" x14ac:dyDescent="0.2">
      <c r="A32" s="165"/>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BV32" s="166"/>
      <c r="BW32" s="167"/>
    </row>
    <row r="33" spans="1:77" s="169" customFormat="1" x14ac:dyDescent="0.2">
      <c r="A33" s="168"/>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BV33" s="171"/>
      <c r="BW33" s="172"/>
    </row>
    <row r="34" spans="1:77" s="174" customFormat="1" ht="15.75" x14ac:dyDescent="0.25">
      <c r="A34" s="173" t="s">
        <v>162</v>
      </c>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BV34" s="176"/>
      <c r="BW34" s="177"/>
    </row>
    <row r="35" spans="1:77" s="179" customFormat="1" x14ac:dyDescent="0.2">
      <c r="A35" s="178" t="s">
        <v>163</v>
      </c>
      <c r="C35" s="180">
        <v>3140.9372841021654</v>
      </c>
      <c r="D35" s="180">
        <v>3261.1572788855947</v>
      </c>
      <c r="E35" s="180">
        <v>3287.0642852958254</v>
      </c>
      <c r="F35" s="180">
        <v>3264.1870801046598</v>
      </c>
      <c r="G35" s="180">
        <v>3195.4412382255287</v>
      </c>
      <c r="H35" s="180">
        <v>3012.6099207341085</v>
      </c>
      <c r="I35" s="180">
        <v>2832.3960383593444</v>
      </c>
      <c r="J35" s="180">
        <v>2650.1695298193285</v>
      </c>
      <c r="K35" s="180">
        <v>2486.2376439613095</v>
      </c>
      <c r="L35" s="180">
        <v>2339.4755529817735</v>
      </c>
      <c r="M35" s="180">
        <v>2210.8025036235581</v>
      </c>
      <c r="N35" s="180">
        <v>2095.9520260985091</v>
      </c>
      <c r="O35" s="180">
        <v>1991.0443798553399</v>
      </c>
      <c r="P35" s="180">
        <v>1893.9914318392152</v>
      </c>
      <c r="Q35" s="180">
        <v>1808.5152822241434</v>
      </c>
      <c r="R35" s="180">
        <v>1733.1336774017525</v>
      </c>
      <c r="S35" s="180">
        <v>1661.9538950439126</v>
      </c>
      <c r="T35" s="180">
        <v>1594.1027617293998</v>
      </c>
      <c r="U35" s="180">
        <v>1534.0566174141338</v>
      </c>
      <c r="V35" s="180">
        <v>1480.9969505824704</v>
      </c>
      <c r="W35" s="180">
        <v>1429.6671318184542</v>
      </c>
      <c r="X35" s="180">
        <v>1379.5739483529064</v>
      </c>
      <c r="Y35" s="180">
        <v>1335.3496733825837</v>
      </c>
      <c r="Z35" s="180">
        <v>1296.4484676478912</v>
      </c>
      <c r="AA35" s="180"/>
      <c r="AB35" s="180"/>
      <c r="AC35" s="180"/>
      <c r="AD35" s="180"/>
      <c r="AE35" s="180"/>
      <c r="AF35" s="180"/>
      <c r="AG35" s="180"/>
      <c r="AH35" s="180"/>
      <c r="AI35" s="180"/>
      <c r="AJ35" s="180"/>
      <c r="BV35" s="181"/>
      <c r="BW35" s="182"/>
    </row>
    <row r="36" spans="1:77" s="179" customFormat="1" x14ac:dyDescent="0.2">
      <c r="A36" s="178" t="s">
        <v>164</v>
      </c>
      <c r="C36" s="183">
        <v>3324.1999999999994</v>
      </c>
      <c r="D36" s="183">
        <v>3246.219719188121</v>
      </c>
      <c r="E36" s="183">
        <v>2745.0562125310125</v>
      </c>
      <c r="F36" s="183">
        <v>2327.420605956906</v>
      </c>
      <c r="G36" s="183">
        <v>2131.5800178317763</v>
      </c>
      <c r="H36" s="183">
        <v>1999.1199330845595</v>
      </c>
      <c r="I36" s="183">
        <v>1890.2243088586583</v>
      </c>
      <c r="J36" s="183">
        <v>1779.1772857461233</v>
      </c>
      <c r="K36" s="183">
        <v>1676.1092242401276</v>
      </c>
      <c r="L36" s="183">
        <v>1583.124530411942</v>
      </c>
      <c r="M36" s="183">
        <v>1501.1708344673252</v>
      </c>
      <c r="N36" s="183">
        <v>1428.6632519033485</v>
      </c>
      <c r="O36" s="183">
        <v>1361.5829109063177</v>
      </c>
      <c r="P36" s="183">
        <v>1298.9752097406788</v>
      </c>
      <c r="Q36" s="183">
        <v>1243.4234135521572</v>
      </c>
      <c r="R36" s="183">
        <v>1194.1493822356986</v>
      </c>
      <c r="S36" s="183">
        <v>1147.5126763905348</v>
      </c>
      <c r="T36" s="183">
        <v>1102.9853659721045</v>
      </c>
      <c r="U36" s="183">
        <v>1063.467733141395</v>
      </c>
      <c r="V36" s="183">
        <v>1028.4689175519691</v>
      </c>
      <c r="W36" s="183">
        <v>994.62487480229925</v>
      </c>
      <c r="X36" s="183">
        <v>961.60290916829513</v>
      </c>
      <c r="Y36" s="183">
        <v>932.40749467845274</v>
      </c>
      <c r="Z36" s="183">
        <v>906.69833002659084</v>
      </c>
      <c r="AA36" s="180"/>
      <c r="AB36" s="180"/>
      <c r="AC36" s="180"/>
      <c r="AD36" s="180"/>
      <c r="AE36" s="180"/>
      <c r="AF36" s="180"/>
      <c r="AG36" s="180"/>
      <c r="AH36" s="180"/>
      <c r="AI36" s="180"/>
      <c r="AJ36" s="180"/>
      <c r="BV36" s="181"/>
      <c r="BW36" s="182"/>
    </row>
    <row r="37" spans="1:77" s="179" customFormat="1" x14ac:dyDescent="0.2">
      <c r="A37" s="184" t="s">
        <v>165</v>
      </c>
      <c r="C37" s="180">
        <f t="shared" ref="C37:Z37" si="11">C36+C35</f>
        <v>6465.1372841021648</v>
      </c>
      <c r="D37" s="180">
        <f t="shared" si="11"/>
        <v>6507.3769980737161</v>
      </c>
      <c r="E37" s="180">
        <f t="shared" si="11"/>
        <v>6032.1204978268379</v>
      </c>
      <c r="F37" s="180">
        <f t="shared" si="11"/>
        <v>5591.6076860615658</v>
      </c>
      <c r="G37" s="180">
        <f t="shared" si="11"/>
        <v>5327.0212560573054</v>
      </c>
      <c r="H37" s="180">
        <f t="shared" si="11"/>
        <v>5011.7298538186678</v>
      </c>
      <c r="I37" s="180">
        <f t="shared" si="11"/>
        <v>4722.6203472180023</v>
      </c>
      <c r="J37" s="180">
        <f t="shared" si="11"/>
        <v>4429.3468155654518</v>
      </c>
      <c r="K37" s="180">
        <f t="shared" si="11"/>
        <v>4162.3468682014372</v>
      </c>
      <c r="L37" s="180">
        <f t="shared" si="11"/>
        <v>3922.6000833937155</v>
      </c>
      <c r="M37" s="180">
        <f t="shared" si="11"/>
        <v>3711.9733380908833</v>
      </c>
      <c r="N37" s="180">
        <f t="shared" si="11"/>
        <v>3524.6152780018574</v>
      </c>
      <c r="O37" s="180">
        <f t="shared" si="11"/>
        <v>3352.6272907616576</v>
      </c>
      <c r="P37" s="180">
        <f t="shared" si="11"/>
        <v>3192.9666415798938</v>
      </c>
      <c r="Q37" s="180">
        <f t="shared" si="11"/>
        <v>3051.9386957763008</v>
      </c>
      <c r="R37" s="180">
        <f t="shared" si="11"/>
        <v>2927.2830596374511</v>
      </c>
      <c r="S37" s="180">
        <f t="shared" si="11"/>
        <v>2809.4665714344474</v>
      </c>
      <c r="T37" s="180">
        <f t="shared" si="11"/>
        <v>2697.0881277015042</v>
      </c>
      <c r="U37" s="180">
        <f t="shared" si="11"/>
        <v>2597.5243505555291</v>
      </c>
      <c r="V37" s="180">
        <f t="shared" si="11"/>
        <v>2509.4658681344395</v>
      </c>
      <c r="W37" s="180">
        <f t="shared" si="11"/>
        <v>2424.2920066207535</v>
      </c>
      <c r="X37" s="180">
        <f t="shared" si="11"/>
        <v>2341.1768575212018</v>
      </c>
      <c r="Y37" s="180">
        <f t="shared" si="11"/>
        <v>2267.7571680610363</v>
      </c>
      <c r="Z37" s="180">
        <f t="shared" si="11"/>
        <v>2203.1467976744821</v>
      </c>
      <c r="AA37" s="180"/>
      <c r="AB37" s="180"/>
      <c r="AC37" s="180"/>
      <c r="AD37" s="180"/>
      <c r="AE37" s="180"/>
      <c r="AF37" s="180"/>
      <c r="AG37" s="180"/>
      <c r="AH37" s="180"/>
      <c r="AI37" s="180"/>
      <c r="AJ37" s="180"/>
      <c r="BV37" s="181"/>
      <c r="BW37" s="182"/>
    </row>
    <row r="38" spans="1:77" s="179" customFormat="1" x14ac:dyDescent="0.2">
      <c r="A38" s="184"/>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BV38" s="181"/>
      <c r="BW38" s="182"/>
    </row>
    <row r="39" spans="1:77" s="179" customFormat="1" ht="12.75" customHeight="1" x14ac:dyDescent="0.2">
      <c r="A39" s="185" t="s">
        <v>166</v>
      </c>
      <c r="B39" s="186"/>
      <c r="C39" s="180">
        <v>3017.0418907852977</v>
      </c>
      <c r="D39" s="180">
        <v>3112.2785208043733</v>
      </c>
      <c r="E39" s="180">
        <v>3221.3268570306991</v>
      </c>
      <c r="F39" s="180">
        <v>3236.757743966094</v>
      </c>
      <c r="G39" s="180">
        <v>3171.2389016558268</v>
      </c>
      <c r="H39" s="180">
        <v>2991.0665138741338</v>
      </c>
      <c r="I39" s="180">
        <v>2813.046814497513</v>
      </c>
      <c r="J39" s="180">
        <v>2632.7503624502833</v>
      </c>
      <c r="K39" s="180">
        <v>2470.4492564406196</v>
      </c>
      <c r="L39" s="180">
        <v>2325.0481586880533</v>
      </c>
      <c r="M39" s="180">
        <v>2197.5374998495831</v>
      </c>
      <c r="N39" s="180">
        <v>2083.6936316972642</v>
      </c>
      <c r="O39" s="180">
        <v>1979.6433195447173</v>
      </c>
      <c r="P39" s="180">
        <v>1883.3558293331932</v>
      </c>
      <c r="Q39" s="180">
        <v>1798.5409874825434</v>
      </c>
      <c r="R39" s="180">
        <v>1723.7409900108751</v>
      </c>
      <c r="S39" s="180">
        <v>1653.0609388865955</v>
      </c>
      <c r="T39" s="180">
        <v>1585.6654502623005</v>
      </c>
      <c r="U39" s="180">
        <v>1526.0156472274909</v>
      </c>
      <c r="V39" s="180">
        <v>1473.3078530646133</v>
      </c>
      <c r="W39" s="180">
        <v>1422.2789256577953</v>
      </c>
      <c r="X39" s="180">
        <v>1372.5337752248513</v>
      </c>
      <c r="Y39" s="180">
        <v>1328.4885171315941</v>
      </c>
      <c r="Z39" s="180">
        <v>1145.5959304229484</v>
      </c>
      <c r="AA39" s="187"/>
      <c r="AB39" s="187"/>
      <c r="AC39" s="187"/>
      <c r="AD39" s="187"/>
      <c r="AE39" s="187"/>
      <c r="AF39" s="187"/>
      <c r="AG39" s="187"/>
      <c r="AH39" s="187"/>
      <c r="AI39" s="187"/>
      <c r="AJ39" s="187"/>
      <c r="BV39" s="181"/>
      <c r="BW39" s="182"/>
    </row>
    <row r="40" spans="1:77" s="179" customFormat="1" ht="12.75" customHeight="1" x14ac:dyDescent="0.2">
      <c r="A40" s="185" t="s">
        <v>167</v>
      </c>
      <c r="B40" s="186"/>
      <c r="C40" s="183">
        <v>2810.4821671643299</v>
      </c>
      <c r="D40" s="183">
        <v>2903.6917922528637</v>
      </c>
      <c r="E40" s="183">
        <v>2617.152505117172</v>
      </c>
      <c r="F40" s="183">
        <v>2267.7864419834355</v>
      </c>
      <c r="G40" s="183">
        <v>2081.612831363921</v>
      </c>
      <c r="H40" s="183">
        <v>1956.6722485151906</v>
      </c>
      <c r="I40" s="183">
        <v>1853.8401507008787</v>
      </c>
      <c r="J40" s="183">
        <v>1747.9115724941853</v>
      </c>
      <c r="K40" s="183">
        <v>1649.0064714595514</v>
      </c>
      <c r="L40" s="183">
        <v>1559.3850574616879</v>
      </c>
      <c r="M40" s="183">
        <v>1480.2417898237716</v>
      </c>
      <c r="N40" s="183">
        <v>1410.1129184038857</v>
      </c>
      <c r="O40" s="183">
        <v>1344.9986652493574</v>
      </c>
      <c r="P40" s="183">
        <v>1284.0706540209628</v>
      </c>
      <c r="Q40" s="183">
        <v>1229.9613873232763</v>
      </c>
      <c r="R40" s="183">
        <v>1181.9452556268</v>
      </c>
      <c r="S40" s="183">
        <v>1136.3686740112821</v>
      </c>
      <c r="T40" s="183">
        <v>1092.7716053415211</v>
      </c>
      <c r="U40" s="183">
        <v>1054.0746189668446</v>
      </c>
      <c r="V40" s="183">
        <v>1019.8117016719575</v>
      </c>
      <c r="W40" s="183">
        <v>986.59736560127556</v>
      </c>
      <c r="X40" s="183">
        <v>954.21141838993799</v>
      </c>
      <c r="Y40" s="183">
        <v>925.57248123143529</v>
      </c>
      <c r="Z40" s="183">
        <v>793.29530223748009</v>
      </c>
      <c r="AA40" s="187"/>
      <c r="AB40" s="187"/>
      <c r="AC40" s="187"/>
      <c r="AD40" s="187"/>
      <c r="AE40" s="187"/>
      <c r="AF40" s="187"/>
      <c r="AG40" s="187"/>
      <c r="AH40" s="187"/>
      <c r="AI40" s="187"/>
      <c r="AJ40" s="187"/>
      <c r="BV40" s="181"/>
      <c r="BW40" s="182"/>
    </row>
    <row r="41" spans="1:77" s="174" customFormat="1" ht="12.75" customHeight="1" x14ac:dyDescent="0.2">
      <c r="A41" s="174" t="s">
        <v>168</v>
      </c>
      <c r="C41" s="175">
        <f t="shared" ref="C41:Z41" si="12">C40+C39</f>
        <v>5827.5240579496276</v>
      </c>
      <c r="D41" s="175">
        <f t="shared" si="12"/>
        <v>6015.970313057237</v>
      </c>
      <c r="E41" s="175">
        <f t="shared" si="12"/>
        <v>5838.4793621478711</v>
      </c>
      <c r="F41" s="175">
        <f t="shared" si="12"/>
        <v>5504.5441859495295</v>
      </c>
      <c r="G41" s="175">
        <f t="shared" si="12"/>
        <v>5252.8517330197483</v>
      </c>
      <c r="H41" s="175">
        <f t="shared" si="12"/>
        <v>4947.7387623893246</v>
      </c>
      <c r="I41" s="175">
        <f t="shared" si="12"/>
        <v>4666.8869651983914</v>
      </c>
      <c r="J41" s="175">
        <f t="shared" si="12"/>
        <v>4380.6619349444682</v>
      </c>
      <c r="K41" s="175">
        <f t="shared" si="12"/>
        <v>4119.455727900171</v>
      </c>
      <c r="L41" s="175">
        <f t="shared" si="12"/>
        <v>3884.4332161497414</v>
      </c>
      <c r="M41" s="175">
        <f t="shared" si="12"/>
        <v>3677.7792896733545</v>
      </c>
      <c r="N41" s="175">
        <f t="shared" si="12"/>
        <v>3493.8065501011497</v>
      </c>
      <c r="O41" s="175">
        <f t="shared" si="12"/>
        <v>3324.6419847940747</v>
      </c>
      <c r="P41" s="175">
        <f t="shared" si="12"/>
        <v>3167.4264833541561</v>
      </c>
      <c r="Q41" s="175">
        <f t="shared" si="12"/>
        <v>3028.5023748058197</v>
      </c>
      <c r="R41" s="175">
        <f t="shared" si="12"/>
        <v>2905.6862456376748</v>
      </c>
      <c r="S41" s="175">
        <f t="shared" si="12"/>
        <v>2789.4296128978776</v>
      </c>
      <c r="T41" s="175">
        <f t="shared" si="12"/>
        <v>2678.4370556038216</v>
      </c>
      <c r="U41" s="175">
        <f t="shared" si="12"/>
        <v>2580.0902661943355</v>
      </c>
      <c r="V41" s="175">
        <f t="shared" si="12"/>
        <v>2493.1195547365705</v>
      </c>
      <c r="W41" s="175">
        <f t="shared" si="12"/>
        <v>2408.876291259071</v>
      </c>
      <c r="X41" s="175">
        <f t="shared" si="12"/>
        <v>2326.7451936147891</v>
      </c>
      <c r="Y41" s="175">
        <f t="shared" si="12"/>
        <v>2254.0609983630293</v>
      </c>
      <c r="Z41" s="175">
        <f t="shared" si="12"/>
        <v>1938.8912326604286</v>
      </c>
      <c r="AA41" s="175"/>
      <c r="AB41" s="175"/>
      <c r="AC41" s="175"/>
      <c r="AD41" s="175"/>
      <c r="AE41" s="175"/>
      <c r="AF41" s="175"/>
      <c r="AG41" s="175"/>
      <c r="AH41" s="175"/>
      <c r="AI41" s="175"/>
      <c r="AJ41" s="175"/>
      <c r="BV41" s="176"/>
      <c r="BW41" s="177"/>
    </row>
    <row r="42" spans="1:77" s="169" customFormat="1" x14ac:dyDescent="0.2">
      <c r="A42" s="168"/>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BV42" s="171"/>
      <c r="BW42" s="172"/>
    </row>
    <row r="43" spans="1:77" s="189" customFormat="1" ht="15.75" x14ac:dyDescent="0.25">
      <c r="A43" s="188" t="s">
        <v>169</v>
      </c>
      <c r="C43" s="192"/>
      <c r="D43" s="192"/>
      <c r="E43" s="192"/>
      <c r="F43" s="192"/>
      <c r="G43" s="192"/>
      <c r="H43" s="192"/>
      <c r="I43" s="192"/>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BV43" s="193"/>
      <c r="BW43" s="194"/>
    </row>
    <row r="44" spans="1:77" s="189" customFormat="1" x14ac:dyDescent="0.2">
      <c r="A44" s="195" t="s">
        <v>170</v>
      </c>
      <c r="C44" s="197">
        <v>0.1207733049102829</v>
      </c>
      <c r="D44" s="197">
        <v>0.11971810352377701</v>
      </c>
      <c r="E44" s="197">
        <v>0.11876509857800957</v>
      </c>
      <c r="F44" s="197">
        <v>0.1175290810869745</v>
      </c>
      <c r="G44" s="197">
        <v>0.11763862466946685</v>
      </c>
      <c r="H44" s="197">
        <v>0.1178161439235481</v>
      </c>
      <c r="I44" s="197">
        <v>0.11796314216485065</v>
      </c>
      <c r="J44" s="197">
        <v>0.11802686114833089</v>
      </c>
      <c r="K44" s="196">
        <v>0.11808260043267921</v>
      </c>
      <c r="L44" s="196">
        <v>0.11813946962523843</v>
      </c>
      <c r="M44" s="196">
        <v>0.11820049799938151</v>
      </c>
      <c r="N44" s="196">
        <v>0.11826144411286069</v>
      </c>
      <c r="O44" s="196">
        <v>0.11832192467473605</v>
      </c>
      <c r="P44" s="196">
        <v>0.11838102896113065</v>
      </c>
      <c r="Q44" s="196">
        <v>0.11844332250566315</v>
      </c>
      <c r="R44" s="196">
        <v>0.11850720407542759</v>
      </c>
      <c r="S44" s="196">
        <v>0.11856705218891013</v>
      </c>
      <c r="T44" s="196">
        <v>0.11862249963788332</v>
      </c>
      <c r="U44" s="196">
        <v>0.11867800839859372</v>
      </c>
      <c r="V44" s="196">
        <v>0.11873366871332973</v>
      </c>
      <c r="W44" s="196">
        <v>0.11878396767230005</v>
      </c>
      <c r="X44" s="196">
        <v>0.11882916307058891</v>
      </c>
      <c r="Y44" s="196">
        <v>0.11887374933905813</v>
      </c>
      <c r="Z44" s="196">
        <v>0.11891774521064456</v>
      </c>
      <c r="AA44" s="196"/>
      <c r="AB44" s="196"/>
      <c r="AC44" s="196"/>
      <c r="AD44" s="196"/>
      <c r="AE44" s="196"/>
      <c r="AF44" s="196"/>
      <c r="AG44" s="196"/>
      <c r="AH44" s="196"/>
      <c r="AI44" s="196"/>
      <c r="AJ44" s="196"/>
      <c r="BV44" s="193"/>
      <c r="BW44" s="194"/>
    </row>
    <row r="45" spans="1:77" s="189" customFormat="1" x14ac:dyDescent="0.2">
      <c r="A45" s="195" t="s">
        <v>171</v>
      </c>
      <c r="C45" s="196">
        <v>1.02</v>
      </c>
      <c r="D45" s="196">
        <v>1</v>
      </c>
      <c r="E45" s="196">
        <v>1</v>
      </c>
      <c r="F45" s="196">
        <v>1</v>
      </c>
      <c r="G45" s="196">
        <v>1</v>
      </c>
      <c r="H45" s="196">
        <v>1</v>
      </c>
      <c r="I45" s="196">
        <v>1</v>
      </c>
      <c r="J45" s="196">
        <v>1</v>
      </c>
      <c r="K45" s="196">
        <v>1</v>
      </c>
      <c r="L45" s="196">
        <v>1</v>
      </c>
      <c r="M45" s="196">
        <v>1</v>
      </c>
      <c r="N45" s="196">
        <v>1</v>
      </c>
      <c r="O45" s="196">
        <v>1</v>
      </c>
      <c r="P45" s="196">
        <v>1</v>
      </c>
      <c r="Q45" s="196">
        <v>1</v>
      </c>
      <c r="R45" s="196">
        <v>1</v>
      </c>
      <c r="S45" s="196">
        <v>1</v>
      </c>
      <c r="T45" s="196">
        <v>1</v>
      </c>
      <c r="U45" s="196">
        <v>1</v>
      </c>
      <c r="V45" s="196">
        <v>1</v>
      </c>
      <c r="W45" s="196">
        <v>1</v>
      </c>
      <c r="X45" s="196">
        <v>1</v>
      </c>
      <c r="Y45" s="196">
        <v>1</v>
      </c>
      <c r="Z45" s="196">
        <v>1</v>
      </c>
      <c r="AA45" s="198"/>
      <c r="AB45" s="198"/>
      <c r="AC45" s="198"/>
      <c r="AD45" s="198"/>
      <c r="AE45" s="198"/>
      <c r="AF45" s="198"/>
      <c r="AG45" s="198"/>
      <c r="AH45" s="198"/>
      <c r="AI45" s="198"/>
      <c r="AJ45" s="196"/>
      <c r="BV45" s="193"/>
      <c r="BW45" s="194"/>
    </row>
    <row r="46" spans="1:77" s="200" customFormat="1" x14ac:dyDescent="0.2">
      <c r="A46" s="199" t="s">
        <v>172</v>
      </c>
      <c r="C46" s="202">
        <f>C45*C44</f>
        <v>0.12318877100848856</v>
      </c>
      <c r="D46" s="202">
        <f t="shared" ref="D46:Z46" si="13">D45*D44</f>
        <v>0.11971810352377701</v>
      </c>
      <c r="E46" s="202">
        <f t="shared" si="13"/>
        <v>0.11876509857800957</v>
      </c>
      <c r="F46" s="202">
        <f t="shared" si="13"/>
        <v>0.1175290810869745</v>
      </c>
      <c r="G46" s="202">
        <f t="shared" si="13"/>
        <v>0.11763862466946685</v>
      </c>
      <c r="H46" s="202">
        <f t="shared" si="13"/>
        <v>0.1178161439235481</v>
      </c>
      <c r="I46" s="202">
        <f t="shared" si="13"/>
        <v>0.11796314216485065</v>
      </c>
      <c r="J46" s="202">
        <f t="shared" si="13"/>
        <v>0.11802686114833089</v>
      </c>
      <c r="K46" s="201">
        <f t="shared" si="13"/>
        <v>0.11808260043267921</v>
      </c>
      <c r="L46" s="201">
        <f t="shared" si="13"/>
        <v>0.11813946962523843</v>
      </c>
      <c r="M46" s="201">
        <f t="shared" si="13"/>
        <v>0.11820049799938151</v>
      </c>
      <c r="N46" s="201">
        <f t="shared" si="13"/>
        <v>0.11826144411286069</v>
      </c>
      <c r="O46" s="201">
        <f t="shared" si="13"/>
        <v>0.11832192467473605</v>
      </c>
      <c r="P46" s="201">
        <f t="shared" si="13"/>
        <v>0.11838102896113065</v>
      </c>
      <c r="Q46" s="201">
        <f t="shared" si="13"/>
        <v>0.11844332250566315</v>
      </c>
      <c r="R46" s="201">
        <f t="shared" si="13"/>
        <v>0.11850720407542759</v>
      </c>
      <c r="S46" s="201">
        <f t="shared" si="13"/>
        <v>0.11856705218891013</v>
      </c>
      <c r="T46" s="201">
        <f t="shared" si="13"/>
        <v>0.11862249963788332</v>
      </c>
      <c r="U46" s="201">
        <f t="shared" si="13"/>
        <v>0.11867800839859372</v>
      </c>
      <c r="V46" s="201">
        <f t="shared" si="13"/>
        <v>0.11873366871332973</v>
      </c>
      <c r="W46" s="201">
        <f t="shared" si="13"/>
        <v>0.11878396767230005</v>
      </c>
      <c r="X46" s="201">
        <f t="shared" si="13"/>
        <v>0.11882916307058891</v>
      </c>
      <c r="Y46" s="201">
        <f t="shared" si="13"/>
        <v>0.11887374933905813</v>
      </c>
      <c r="Z46" s="201">
        <f t="shared" si="13"/>
        <v>0.11891774521064456</v>
      </c>
      <c r="AA46" s="201"/>
      <c r="AB46" s="201"/>
      <c r="AC46" s="201"/>
      <c r="AD46" s="201"/>
      <c r="AE46" s="201"/>
      <c r="AF46" s="201"/>
      <c r="AG46" s="201"/>
      <c r="AH46" s="201"/>
      <c r="AI46" s="201"/>
      <c r="AJ46" s="201"/>
      <c r="BV46" s="203"/>
      <c r="BW46" s="204"/>
    </row>
    <row r="47" spans="1:77" s="189" customFormat="1" x14ac:dyDescent="0.2">
      <c r="A47" s="205" t="s">
        <v>173</v>
      </c>
      <c r="C47" s="206" t="e">
        <f t="shared" ref="C47:Z47" ca="1" si="14">C29*C5*C24*C46</f>
        <v>#NAME?</v>
      </c>
      <c r="D47" s="206" t="e">
        <f t="shared" ca="1" si="14"/>
        <v>#NAME?</v>
      </c>
      <c r="E47" s="206" t="e">
        <f t="shared" ca="1" si="14"/>
        <v>#NAME?</v>
      </c>
      <c r="F47" s="206" t="e">
        <f t="shared" ca="1" si="14"/>
        <v>#NAME?</v>
      </c>
      <c r="G47" s="206" t="e">
        <f t="shared" ca="1" si="14"/>
        <v>#NAME?</v>
      </c>
      <c r="H47" s="206" t="e">
        <f t="shared" ca="1" si="14"/>
        <v>#NAME?</v>
      </c>
      <c r="I47" s="206" t="e">
        <f t="shared" ca="1" si="14"/>
        <v>#NAME?</v>
      </c>
      <c r="J47" s="206" t="e">
        <f t="shared" ca="1" si="14"/>
        <v>#NAME?</v>
      </c>
      <c r="K47" s="206" t="e">
        <f t="shared" ca="1" si="14"/>
        <v>#NAME?</v>
      </c>
      <c r="L47" s="206" t="e">
        <f t="shared" ca="1" si="14"/>
        <v>#NAME?</v>
      </c>
      <c r="M47" s="206" t="e">
        <f t="shared" ca="1" si="14"/>
        <v>#NAME?</v>
      </c>
      <c r="N47" s="206" t="e">
        <f t="shared" ca="1" si="14"/>
        <v>#NAME?</v>
      </c>
      <c r="O47" s="206" t="e">
        <f t="shared" ca="1" si="14"/>
        <v>#NAME?</v>
      </c>
      <c r="P47" s="206" t="e">
        <f t="shared" ca="1" si="14"/>
        <v>#NAME?</v>
      </c>
      <c r="Q47" s="206" t="e">
        <f t="shared" ca="1" si="14"/>
        <v>#NAME?</v>
      </c>
      <c r="R47" s="206" t="e">
        <f t="shared" ca="1" si="14"/>
        <v>#NAME?</v>
      </c>
      <c r="S47" s="206" t="e">
        <f t="shared" ca="1" si="14"/>
        <v>#NAME?</v>
      </c>
      <c r="T47" s="206" t="e">
        <f t="shared" ca="1" si="14"/>
        <v>#NAME?</v>
      </c>
      <c r="U47" s="206" t="e">
        <f t="shared" ca="1" si="14"/>
        <v>#NAME?</v>
      </c>
      <c r="V47" s="206" t="e">
        <f t="shared" ca="1" si="14"/>
        <v>#NAME?</v>
      </c>
      <c r="W47" s="206" t="e">
        <f t="shared" ca="1" si="14"/>
        <v>#NAME?</v>
      </c>
      <c r="X47" s="206" t="e">
        <f t="shared" ca="1" si="14"/>
        <v>#NAME?</v>
      </c>
      <c r="Y47" s="206" t="e">
        <f t="shared" ca="1" si="14"/>
        <v>#NAME?</v>
      </c>
      <c r="Z47" s="206" t="e">
        <f t="shared" ca="1" si="14"/>
        <v>#NAME?</v>
      </c>
      <c r="AA47" s="196"/>
      <c r="AB47" s="196"/>
      <c r="AC47" s="196"/>
      <c r="AD47" s="196"/>
      <c r="AE47" s="196"/>
      <c r="AF47" s="196"/>
      <c r="AG47" s="196"/>
      <c r="AH47" s="196"/>
      <c r="AI47" s="196"/>
      <c r="AJ47" s="197"/>
      <c r="BV47" s="193"/>
      <c r="BW47" s="194"/>
    </row>
    <row r="48" spans="1:77" s="200" customFormat="1" ht="12.75" customHeight="1" x14ac:dyDescent="0.2">
      <c r="A48" s="205" t="s">
        <v>174</v>
      </c>
      <c r="C48" s="196">
        <v>6.5619401071441583</v>
      </c>
      <c r="D48" s="196">
        <v>5.9668374636706725</v>
      </c>
      <c r="E48" s="196">
        <v>6.6786146515680906</v>
      </c>
      <c r="F48" s="196">
        <v>5.9820263983287374</v>
      </c>
      <c r="G48" s="196">
        <v>6.4216454002682539</v>
      </c>
      <c r="H48" s="196">
        <v>6.2228243025955923</v>
      </c>
      <c r="I48" s="196">
        <v>5.8760104501936574</v>
      </c>
      <c r="J48" s="196">
        <v>5.7601738175238566</v>
      </c>
      <c r="K48" s="196">
        <v>5.5489881622568422</v>
      </c>
      <c r="L48" s="196">
        <v>5.185796445072576</v>
      </c>
      <c r="M48" s="196">
        <v>4.8485548901019113</v>
      </c>
      <c r="N48" s="196">
        <v>4.5615782873880066</v>
      </c>
      <c r="O48" s="196">
        <v>4.210595866736762</v>
      </c>
      <c r="P48" s="196">
        <v>3.8946931736882333</v>
      </c>
      <c r="Q48" s="196">
        <v>3.6016445458588855</v>
      </c>
      <c r="R48" s="196">
        <v>3.351505144244296</v>
      </c>
      <c r="S48" s="196">
        <v>3.0480061164627226</v>
      </c>
      <c r="T48" s="196">
        <v>2.7704237605765853</v>
      </c>
      <c r="U48" s="196">
        <v>2.5134790195337793</v>
      </c>
      <c r="V48" s="196">
        <v>2.2928451811119617</v>
      </c>
      <c r="W48" s="196">
        <v>2.0274741584519638</v>
      </c>
      <c r="X48" s="196">
        <v>1.781619489896427</v>
      </c>
      <c r="Y48" s="196">
        <v>1.551567552008956</v>
      </c>
      <c r="Z48" s="196">
        <v>2.335027419642996E-2</v>
      </c>
      <c r="AA48" s="196"/>
      <c r="AB48" s="196"/>
      <c r="AC48" s="196"/>
      <c r="AD48" s="196"/>
      <c r="AE48" s="196"/>
      <c r="AF48" s="196"/>
      <c r="AG48" s="196"/>
      <c r="AH48" s="196"/>
      <c r="AI48" s="196"/>
      <c r="AJ48" s="196"/>
      <c r="BV48" s="193"/>
      <c r="BW48" s="194"/>
      <c r="BX48" s="189"/>
      <c r="BY48" s="189"/>
    </row>
    <row r="49" spans="1:75" s="189" customFormat="1" x14ac:dyDescent="0.2">
      <c r="A49" s="205" t="s">
        <v>175</v>
      </c>
      <c r="C49" s="196">
        <v>2.5619999999999994</v>
      </c>
      <c r="D49" s="196">
        <v>2.5619999999999994</v>
      </c>
      <c r="E49" s="196">
        <v>2.5619999999999994</v>
      </c>
      <c r="F49" s="196">
        <v>2.5619999999999994</v>
      </c>
      <c r="G49" s="196">
        <v>2.5619999999999994</v>
      </c>
      <c r="H49" s="196">
        <v>2.5619999999999994</v>
      </c>
      <c r="I49" s="196">
        <v>2.5619999999999994</v>
      </c>
      <c r="J49" s="196">
        <v>2.5619999999999994</v>
      </c>
      <c r="K49" s="196">
        <v>2.5619999999999994</v>
      </c>
      <c r="L49" s="196">
        <v>2.5619999999999994</v>
      </c>
      <c r="M49" s="196">
        <v>2.5619999999999994</v>
      </c>
      <c r="N49" s="196">
        <v>2.5619999999999994</v>
      </c>
      <c r="O49" s="196">
        <v>2.5619999999999994</v>
      </c>
      <c r="P49" s="196">
        <v>2.5619999999999994</v>
      </c>
      <c r="Q49" s="196">
        <v>2.5619999999999994</v>
      </c>
      <c r="R49" s="196">
        <v>2.5619999999999994</v>
      </c>
      <c r="S49" s="196">
        <v>2.5619999999999994</v>
      </c>
      <c r="T49" s="196">
        <v>2.5619999999999994</v>
      </c>
      <c r="U49" s="196">
        <v>2.5619999999999994</v>
      </c>
      <c r="V49" s="196">
        <v>2.5619999999999994</v>
      </c>
      <c r="W49" s="196">
        <v>2.5619999999999994</v>
      </c>
      <c r="X49" s="196">
        <v>2.5619999999999994</v>
      </c>
      <c r="Y49" s="196">
        <v>2.5619999999999994</v>
      </c>
      <c r="Z49" s="196">
        <v>2.5619999999999994</v>
      </c>
      <c r="AA49" s="196"/>
      <c r="AB49" s="196"/>
      <c r="AC49" s="196"/>
      <c r="AD49" s="196"/>
      <c r="AE49" s="196"/>
      <c r="AF49" s="196"/>
      <c r="AG49" s="196"/>
      <c r="AH49" s="196"/>
      <c r="AI49" s="196"/>
      <c r="AJ49" s="196"/>
      <c r="BV49" s="193"/>
      <c r="BW49" s="194"/>
    </row>
    <row r="50" spans="1:75" s="189" customFormat="1" x14ac:dyDescent="0.2">
      <c r="A50" s="195" t="s">
        <v>176</v>
      </c>
      <c r="C50" s="197" t="e">
        <f t="shared" ref="C50:Z50" ca="1" si="15">SUM(C47:C49)</f>
        <v>#NAME?</v>
      </c>
      <c r="D50" s="197" t="e">
        <f t="shared" ca="1" si="15"/>
        <v>#NAME?</v>
      </c>
      <c r="E50" s="197" t="e">
        <f t="shared" ca="1" si="15"/>
        <v>#NAME?</v>
      </c>
      <c r="F50" s="197" t="e">
        <f t="shared" ca="1" si="15"/>
        <v>#NAME?</v>
      </c>
      <c r="G50" s="197" t="e">
        <f t="shared" ca="1" si="15"/>
        <v>#NAME?</v>
      </c>
      <c r="H50" s="197" t="e">
        <f t="shared" ca="1" si="15"/>
        <v>#NAME?</v>
      </c>
      <c r="I50" s="197" t="e">
        <f t="shared" ca="1" si="15"/>
        <v>#NAME?</v>
      </c>
      <c r="J50" s="197" t="e">
        <f t="shared" ca="1" si="15"/>
        <v>#NAME?</v>
      </c>
      <c r="K50" s="196" t="e">
        <f t="shared" ca="1" si="15"/>
        <v>#NAME?</v>
      </c>
      <c r="L50" s="196" t="e">
        <f t="shared" ca="1" si="15"/>
        <v>#NAME?</v>
      </c>
      <c r="M50" s="196" t="e">
        <f t="shared" ca="1" si="15"/>
        <v>#NAME?</v>
      </c>
      <c r="N50" s="196" t="e">
        <f t="shared" ca="1" si="15"/>
        <v>#NAME?</v>
      </c>
      <c r="O50" s="196" t="e">
        <f t="shared" ca="1" si="15"/>
        <v>#NAME?</v>
      </c>
      <c r="P50" s="196" t="e">
        <f t="shared" ca="1" si="15"/>
        <v>#NAME?</v>
      </c>
      <c r="Q50" s="196" t="e">
        <f t="shared" ca="1" si="15"/>
        <v>#NAME?</v>
      </c>
      <c r="R50" s="196" t="e">
        <f t="shared" ca="1" si="15"/>
        <v>#NAME?</v>
      </c>
      <c r="S50" s="196" t="e">
        <f t="shared" ca="1" si="15"/>
        <v>#NAME?</v>
      </c>
      <c r="T50" s="196" t="e">
        <f t="shared" ca="1" si="15"/>
        <v>#NAME?</v>
      </c>
      <c r="U50" s="196" t="e">
        <f t="shared" ca="1" si="15"/>
        <v>#NAME?</v>
      </c>
      <c r="V50" s="196" t="e">
        <f t="shared" ca="1" si="15"/>
        <v>#NAME?</v>
      </c>
      <c r="W50" s="196" t="e">
        <f t="shared" ca="1" si="15"/>
        <v>#NAME?</v>
      </c>
      <c r="X50" s="196" t="e">
        <f t="shared" ca="1" si="15"/>
        <v>#NAME?</v>
      </c>
      <c r="Y50" s="196" t="e">
        <f t="shared" ca="1" si="15"/>
        <v>#NAME?</v>
      </c>
      <c r="Z50" s="196" t="e">
        <f t="shared" ca="1" si="15"/>
        <v>#NAME?</v>
      </c>
      <c r="AA50" s="196"/>
      <c r="AB50" s="196"/>
      <c r="AC50" s="196"/>
      <c r="AD50" s="196"/>
      <c r="AE50" s="196"/>
      <c r="AF50" s="196"/>
      <c r="AG50" s="196"/>
      <c r="AH50" s="196"/>
      <c r="AI50" s="196"/>
      <c r="AJ50" s="196"/>
      <c r="BV50" s="193"/>
      <c r="BW50" s="194"/>
    </row>
    <row r="51" spans="1:75" s="189" customFormat="1" x14ac:dyDescent="0.2">
      <c r="A51" s="205" t="s">
        <v>177</v>
      </c>
      <c r="C51" s="196">
        <v>0</v>
      </c>
      <c r="D51" s="196">
        <v>0</v>
      </c>
      <c r="E51" s="196">
        <v>3.3492310712385698</v>
      </c>
      <c r="F51" s="196">
        <v>6.0510757808090405</v>
      </c>
      <c r="G51" s="196">
        <v>4.0676024704563121</v>
      </c>
      <c r="H51" s="196">
        <v>2.6291917246949841</v>
      </c>
      <c r="I51" s="196">
        <v>1.7247203699990801</v>
      </c>
      <c r="J51" s="196">
        <v>1.1706590739582021</v>
      </c>
      <c r="K51" s="196">
        <v>0.80096702778933571</v>
      </c>
      <c r="L51" s="196">
        <v>0.54838718246924345</v>
      </c>
      <c r="M51" s="196">
        <v>0.37993192791042196</v>
      </c>
      <c r="N51" s="196">
        <v>0.26659133971357662</v>
      </c>
      <c r="O51" s="196">
        <v>0.1869971519564412</v>
      </c>
      <c r="P51" s="196">
        <v>0.13212184740893484</v>
      </c>
      <c r="Q51" s="196">
        <v>9.4037263298272472E-2</v>
      </c>
      <c r="R51" s="196">
        <v>6.7542183007044385E-2</v>
      </c>
      <c r="S51" s="196">
        <v>4.8318772168399748E-2</v>
      </c>
      <c r="T51" s="196">
        <v>3.4707503952517427E-2</v>
      </c>
      <c r="U51" s="196">
        <v>2.5061291242359448E-2</v>
      </c>
      <c r="V51" s="196">
        <v>1.8228732035386042E-2</v>
      </c>
      <c r="W51" s="196">
        <v>1.317325449789403E-2</v>
      </c>
      <c r="X51" s="196">
        <v>9.5363700180121878E-3</v>
      </c>
      <c r="Y51" s="196">
        <v>6.9283461854126038E-3</v>
      </c>
      <c r="Z51" s="196">
        <v>3.8613450262615194E-3</v>
      </c>
      <c r="AA51" s="196"/>
      <c r="AB51" s="196"/>
      <c r="AC51" s="196"/>
      <c r="AD51" s="196"/>
      <c r="AE51" s="196"/>
      <c r="AF51" s="196"/>
      <c r="AG51" s="196"/>
      <c r="AH51" s="196"/>
      <c r="AI51" s="196"/>
      <c r="AJ51" s="196"/>
      <c r="BV51" s="193"/>
      <c r="BW51" s="194"/>
    </row>
    <row r="52" spans="1:75" s="189" customFormat="1" x14ac:dyDescent="0.2">
      <c r="A52" s="205" t="s">
        <v>178</v>
      </c>
      <c r="C52" s="207">
        <v>0.6929507036013256</v>
      </c>
      <c r="D52" s="190">
        <v>0.69254193232648076</v>
      </c>
      <c r="E52" s="190">
        <v>0.69108553249127813</v>
      </c>
      <c r="F52" s="190">
        <v>0.69239321015335997</v>
      </c>
      <c r="G52" s="190">
        <v>0.69642682869960115</v>
      </c>
      <c r="H52" s="190">
        <v>0.6997553543511813</v>
      </c>
      <c r="I52" s="190">
        <v>0.70215869136299391</v>
      </c>
      <c r="J52" s="190">
        <v>0.70376588710974697</v>
      </c>
      <c r="K52" s="190">
        <v>0.70518947442006363</v>
      </c>
      <c r="L52" s="190">
        <v>0.70646874143249794</v>
      </c>
      <c r="M52" s="190">
        <v>0.70761189595742724</v>
      </c>
      <c r="N52" s="190">
        <v>0.70875931271482051</v>
      </c>
      <c r="O52" s="190">
        <v>0.70974279393477435</v>
      </c>
      <c r="P52" s="190">
        <v>0.71060398582681539</v>
      </c>
      <c r="Q52" s="190">
        <v>0.71135521568875504</v>
      </c>
      <c r="R52" s="190">
        <v>0.71201710196474499</v>
      </c>
      <c r="S52" s="190">
        <v>0.71263842669605981</v>
      </c>
      <c r="T52" s="190">
        <v>0.71322249825142725</v>
      </c>
      <c r="U52" s="190">
        <v>0.71375899173829027</v>
      </c>
      <c r="V52" s="190">
        <v>0.7142515956520149</v>
      </c>
      <c r="W52" s="190">
        <v>0.7146255698457652</v>
      </c>
      <c r="X52" s="190">
        <v>0.71486141928272107</v>
      </c>
      <c r="Y52" s="190">
        <v>0.71507814363424282</v>
      </c>
      <c r="Z52" s="190">
        <v>0.71546364322925093</v>
      </c>
      <c r="AA52" s="190"/>
      <c r="AB52" s="190"/>
      <c r="AC52" s="190"/>
      <c r="AD52" s="190"/>
      <c r="AE52" s="190"/>
      <c r="AF52" s="190"/>
      <c r="AG52" s="190"/>
      <c r="AH52" s="190"/>
      <c r="AI52" s="190"/>
      <c r="AJ52" s="196"/>
      <c r="BV52" s="193"/>
      <c r="BW52" s="194"/>
    </row>
    <row r="53" spans="1:75" s="200" customFormat="1" x14ac:dyDescent="0.2">
      <c r="A53" s="199" t="s">
        <v>179</v>
      </c>
      <c r="C53" s="201" t="e">
        <f t="shared" ref="C53:Z53" ca="1" si="16">(C50-C51)*C52</f>
        <v>#NAME?</v>
      </c>
      <c r="D53" s="201" t="e">
        <f t="shared" ca="1" si="16"/>
        <v>#NAME?</v>
      </c>
      <c r="E53" s="201" t="e">
        <f t="shared" ca="1" si="16"/>
        <v>#NAME?</v>
      </c>
      <c r="F53" s="201" t="e">
        <f t="shared" ca="1" si="16"/>
        <v>#NAME?</v>
      </c>
      <c r="G53" s="201" t="e">
        <f t="shared" ca="1" si="16"/>
        <v>#NAME?</v>
      </c>
      <c r="H53" s="201" t="e">
        <f t="shared" ca="1" si="16"/>
        <v>#NAME?</v>
      </c>
      <c r="I53" s="201" t="e">
        <f t="shared" ca="1" si="16"/>
        <v>#NAME?</v>
      </c>
      <c r="J53" s="201" t="e">
        <f t="shared" ca="1" si="16"/>
        <v>#NAME?</v>
      </c>
      <c r="K53" s="201" t="e">
        <f t="shared" ca="1" si="16"/>
        <v>#NAME?</v>
      </c>
      <c r="L53" s="201" t="e">
        <f t="shared" ca="1" si="16"/>
        <v>#NAME?</v>
      </c>
      <c r="M53" s="201" t="e">
        <f t="shared" ca="1" si="16"/>
        <v>#NAME?</v>
      </c>
      <c r="N53" s="201" t="e">
        <f t="shared" ca="1" si="16"/>
        <v>#NAME?</v>
      </c>
      <c r="O53" s="201" t="e">
        <f t="shared" ca="1" si="16"/>
        <v>#NAME?</v>
      </c>
      <c r="P53" s="201" t="e">
        <f t="shared" ca="1" si="16"/>
        <v>#NAME?</v>
      </c>
      <c r="Q53" s="201" t="e">
        <f t="shared" ca="1" si="16"/>
        <v>#NAME?</v>
      </c>
      <c r="R53" s="201" t="e">
        <f t="shared" ca="1" si="16"/>
        <v>#NAME?</v>
      </c>
      <c r="S53" s="201" t="e">
        <f t="shared" ca="1" si="16"/>
        <v>#NAME?</v>
      </c>
      <c r="T53" s="201" t="e">
        <f t="shared" ca="1" si="16"/>
        <v>#NAME?</v>
      </c>
      <c r="U53" s="201" t="e">
        <f t="shared" ca="1" si="16"/>
        <v>#NAME?</v>
      </c>
      <c r="V53" s="201" t="e">
        <f t="shared" ca="1" si="16"/>
        <v>#NAME?</v>
      </c>
      <c r="W53" s="201" t="e">
        <f t="shared" ca="1" si="16"/>
        <v>#NAME?</v>
      </c>
      <c r="X53" s="201" t="e">
        <f t="shared" ca="1" si="16"/>
        <v>#NAME?</v>
      </c>
      <c r="Y53" s="201" t="e">
        <f t="shared" ca="1" si="16"/>
        <v>#NAME?</v>
      </c>
      <c r="Z53" s="201" t="e">
        <f t="shared" ca="1" si="16"/>
        <v>#NAME?</v>
      </c>
      <c r="AA53" s="201"/>
      <c r="AB53" s="201"/>
      <c r="AC53" s="201"/>
      <c r="AD53" s="201"/>
      <c r="AE53" s="201"/>
      <c r="AF53" s="201"/>
      <c r="AG53" s="201"/>
      <c r="AH53" s="201"/>
      <c r="AI53" s="201"/>
      <c r="AJ53" s="201"/>
      <c r="BV53" s="203"/>
      <c r="BW53" s="204"/>
    </row>
    <row r="54" spans="1:75" x14ac:dyDescent="0.2">
      <c r="A54" s="208"/>
      <c r="B54" s="110"/>
      <c r="C54" s="209"/>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BV54" s="114"/>
      <c r="BW54" s="115"/>
    </row>
    <row r="55" spans="1:75" s="128" customFormat="1" ht="15.75" x14ac:dyDescent="0.25">
      <c r="A55" s="121" t="s">
        <v>180</v>
      </c>
      <c r="B55" s="121"/>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1"/>
      <c r="AB55" s="131"/>
      <c r="AC55" s="131"/>
      <c r="AD55" s="131"/>
      <c r="AE55" s="131"/>
      <c r="AF55" s="131"/>
      <c r="AG55" s="131"/>
      <c r="AH55" s="131"/>
      <c r="AI55" s="131"/>
      <c r="AJ55" s="131"/>
      <c r="BV55" s="132"/>
      <c r="BW55" s="133"/>
    </row>
    <row r="56" spans="1:75" s="128" customFormat="1" ht="15.75" x14ac:dyDescent="0.25">
      <c r="A56" s="121"/>
      <c r="B56" s="119"/>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131"/>
      <c r="AB56" s="131"/>
      <c r="AC56" s="131"/>
      <c r="AD56" s="131"/>
      <c r="AE56" s="131"/>
      <c r="AF56" s="131"/>
      <c r="AG56" s="131"/>
      <c r="AH56" s="131"/>
      <c r="AI56" s="131"/>
      <c r="AJ56" s="131"/>
      <c r="BV56" s="132"/>
      <c r="BW56" s="133"/>
    </row>
    <row r="57" spans="1:75" s="128" customFormat="1" x14ac:dyDescent="0.2">
      <c r="A57" s="119" t="s">
        <v>181</v>
      </c>
      <c r="B57" s="119"/>
      <c r="C57" s="131">
        <f t="shared" ref="C57:Z57" si="17">C31</f>
        <v>0.44139837550586752</v>
      </c>
      <c r="D57" s="131">
        <f t="shared" si="17"/>
        <v>0.43705341569965656</v>
      </c>
      <c r="E57" s="131">
        <f t="shared" si="17"/>
        <v>0.42878080218383968</v>
      </c>
      <c r="F57" s="131">
        <f t="shared" si="17"/>
        <v>0.40559779338033025</v>
      </c>
      <c r="G57" s="131">
        <f t="shared" si="17"/>
        <v>0.37335142430941753</v>
      </c>
      <c r="H57" s="131">
        <f t="shared" si="17"/>
        <v>0.34446707043104791</v>
      </c>
      <c r="I57" s="131">
        <f t="shared" si="17"/>
        <v>0.31688094982255149</v>
      </c>
      <c r="J57" s="131">
        <f t="shared" si="17"/>
        <v>0.28994031582317292</v>
      </c>
      <c r="K57" s="131">
        <f t="shared" si="17"/>
        <v>0.26606953548117146</v>
      </c>
      <c r="L57" s="131">
        <f t="shared" si="17"/>
        <v>0.2448937065215348</v>
      </c>
      <c r="M57" s="131">
        <f t="shared" si="17"/>
        <v>0.22636522573340553</v>
      </c>
      <c r="N57" s="131">
        <f t="shared" si="17"/>
        <v>0.20996059083139146</v>
      </c>
      <c r="O57" s="131">
        <f t="shared" si="17"/>
        <v>0.19509523505317591</v>
      </c>
      <c r="P57" s="131">
        <f t="shared" si="17"/>
        <v>0.1815077096523382</v>
      </c>
      <c r="Q57" s="131">
        <f t="shared" si="17"/>
        <v>0.16949369883459009</v>
      </c>
      <c r="R57" s="131">
        <f t="shared" si="17"/>
        <v>0.15883836880369973</v>
      </c>
      <c r="S57" s="131">
        <f t="shared" si="17"/>
        <v>0.14894279219425505</v>
      </c>
      <c r="T57" s="131">
        <f t="shared" si="17"/>
        <v>0.13969616083617284</v>
      </c>
      <c r="U57" s="131">
        <f t="shared" si="17"/>
        <v>0.13145479892625272</v>
      </c>
      <c r="V57" s="131">
        <f t="shared" si="17"/>
        <v>0.12409625920076023</v>
      </c>
      <c r="W57" s="131">
        <f t="shared" si="17"/>
        <v>0.11714121198164441</v>
      </c>
      <c r="X57" s="131">
        <f t="shared" si="17"/>
        <v>0.11053270598783635</v>
      </c>
      <c r="Y57" s="131">
        <f t="shared" si="17"/>
        <v>0.10462109690850881</v>
      </c>
      <c r="Z57" s="131">
        <f t="shared" si="17"/>
        <v>9.9326660736291678E-2</v>
      </c>
    </row>
    <row r="58" spans="1:75" s="128" customFormat="1" ht="12.75" customHeight="1" x14ac:dyDescent="0.2">
      <c r="A58" s="211" t="s">
        <v>182</v>
      </c>
      <c r="B58" s="119"/>
      <c r="C58" s="146">
        <v>6.4999999999999997E-3</v>
      </c>
      <c r="D58" s="146">
        <v>1.0999999999999999E-2</v>
      </c>
      <c r="E58" s="146">
        <v>1.2999999999999999E-2</v>
      </c>
      <c r="F58" s="146">
        <v>1.6500000000000001E-2</v>
      </c>
      <c r="G58" s="146">
        <v>1.6E-2</v>
      </c>
      <c r="H58" s="146">
        <v>1.4E-2</v>
      </c>
      <c r="I58" s="146">
        <v>1.2500000000000001E-2</v>
      </c>
      <c r="J58" s="146">
        <v>0.01</v>
      </c>
      <c r="K58" s="146">
        <v>8.9999999999999993E-3</v>
      </c>
      <c r="L58" s="146">
        <v>8.0000000000000002E-3</v>
      </c>
      <c r="M58" s="146">
        <v>7.0000000000000001E-3</v>
      </c>
      <c r="N58" s="146">
        <v>6.4999999999999997E-3</v>
      </c>
      <c r="O58" s="146">
        <v>6.0000000000000001E-3</v>
      </c>
      <c r="P58" s="146">
        <v>5.0000000000000001E-3</v>
      </c>
      <c r="Q58" s="146">
        <v>4.4999999999999997E-3</v>
      </c>
      <c r="R58" s="146">
        <v>4.0000000000000001E-3</v>
      </c>
      <c r="S58" s="146">
        <v>3.5000000000000001E-3</v>
      </c>
      <c r="T58" s="146">
        <v>3.5000000000000001E-3</v>
      </c>
      <c r="U58" s="146">
        <v>3.0000000000000001E-3</v>
      </c>
      <c r="V58" s="146">
        <v>2.5000000000000001E-3</v>
      </c>
      <c r="W58" s="146">
        <v>2E-3</v>
      </c>
      <c r="X58" s="146">
        <v>2E-3</v>
      </c>
      <c r="Y58" s="146">
        <v>1.5E-3</v>
      </c>
      <c r="Z58" s="146">
        <v>1E-3</v>
      </c>
      <c r="AA58" s="136"/>
      <c r="AB58" s="136"/>
      <c r="AC58" s="136"/>
      <c r="AD58" s="136"/>
      <c r="AE58" s="136"/>
      <c r="AF58" s="136"/>
      <c r="AG58" s="136"/>
      <c r="AH58" s="136"/>
      <c r="AI58" s="136"/>
      <c r="AJ58" s="136"/>
      <c r="BV58" s="132"/>
      <c r="BW58" s="133"/>
    </row>
    <row r="59" spans="1:75" s="128" customFormat="1" ht="12.75" customHeight="1" x14ac:dyDescent="0.2">
      <c r="A59" s="119" t="s">
        <v>183</v>
      </c>
      <c r="B59" s="119"/>
      <c r="C59" s="136">
        <f t="shared" ref="C59:Z59" si="18">C57-C58</f>
        <v>0.43489837550586752</v>
      </c>
      <c r="D59" s="136">
        <f t="shared" si="18"/>
        <v>0.42605341569965655</v>
      </c>
      <c r="E59" s="136">
        <f t="shared" si="18"/>
        <v>0.41578080218383967</v>
      </c>
      <c r="F59" s="136">
        <f t="shared" si="18"/>
        <v>0.38909779338033024</v>
      </c>
      <c r="G59" s="136">
        <f t="shared" si="18"/>
        <v>0.35735142430941752</v>
      </c>
      <c r="H59" s="136">
        <f t="shared" si="18"/>
        <v>0.33046707043104789</v>
      </c>
      <c r="I59" s="136">
        <f t="shared" si="18"/>
        <v>0.30438094982255148</v>
      </c>
      <c r="J59" s="136">
        <f t="shared" si="18"/>
        <v>0.27994031582317291</v>
      </c>
      <c r="K59" s="136">
        <f t="shared" si="18"/>
        <v>0.25706953548117145</v>
      </c>
      <c r="L59" s="136">
        <f t="shared" si="18"/>
        <v>0.2368937065215348</v>
      </c>
      <c r="M59" s="136">
        <f t="shared" si="18"/>
        <v>0.21936522573340553</v>
      </c>
      <c r="N59" s="136">
        <f t="shared" si="18"/>
        <v>0.20346059083139145</v>
      </c>
      <c r="O59" s="136">
        <f t="shared" si="18"/>
        <v>0.18909523505317591</v>
      </c>
      <c r="P59" s="136">
        <f t="shared" si="18"/>
        <v>0.1765077096523382</v>
      </c>
      <c r="Q59" s="136">
        <f t="shared" si="18"/>
        <v>0.16499369883459009</v>
      </c>
      <c r="R59" s="136">
        <f t="shared" si="18"/>
        <v>0.15483836880369972</v>
      </c>
      <c r="S59" s="136">
        <f t="shared" si="18"/>
        <v>0.14544279219425504</v>
      </c>
      <c r="T59" s="136">
        <f t="shared" si="18"/>
        <v>0.13619616083617284</v>
      </c>
      <c r="U59" s="136">
        <f t="shared" si="18"/>
        <v>0.12845479892625272</v>
      </c>
      <c r="V59" s="136">
        <f t="shared" si="18"/>
        <v>0.12159625920076023</v>
      </c>
      <c r="W59" s="136">
        <f t="shared" si="18"/>
        <v>0.11514121198164441</v>
      </c>
      <c r="X59" s="136">
        <f t="shared" si="18"/>
        <v>0.10853270598783635</v>
      </c>
      <c r="Y59" s="136">
        <f t="shared" si="18"/>
        <v>0.10312109690850881</v>
      </c>
      <c r="Z59" s="136">
        <f t="shared" si="18"/>
        <v>9.8326660736291677E-2</v>
      </c>
      <c r="AA59" s="136"/>
      <c r="AB59" s="136"/>
      <c r="AC59" s="136"/>
      <c r="AD59" s="136"/>
      <c r="AE59" s="136"/>
      <c r="AF59" s="136"/>
      <c r="AG59" s="136"/>
      <c r="AH59" s="136"/>
      <c r="AI59" s="136"/>
      <c r="AJ59" s="136"/>
      <c r="BV59" s="132"/>
      <c r="BW59" s="133"/>
    </row>
    <row r="60" spans="1:75" s="128" customFormat="1" ht="12.75" customHeight="1" x14ac:dyDescent="0.2">
      <c r="A60" s="119"/>
      <c r="B60" s="119"/>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BV60" s="132"/>
      <c r="BW60" s="133"/>
    </row>
    <row r="61" spans="1:75" s="128" customFormat="1" ht="12.75" customHeight="1" x14ac:dyDescent="0.2">
      <c r="A61" s="119" t="s">
        <v>184</v>
      </c>
      <c r="B61" s="119"/>
      <c r="C61" s="136">
        <v>3.4281298448313478E-2</v>
      </c>
      <c r="D61" s="136">
        <v>3.4047941945858834E-2</v>
      </c>
      <c r="E61" s="136">
        <v>5.0609229092810425E-2</v>
      </c>
      <c r="F61" s="136">
        <v>4.7697577502097084E-2</v>
      </c>
      <c r="G61" s="136">
        <v>3.8911697014264661E-2</v>
      </c>
      <c r="H61" s="136">
        <v>3.2468296577071232E-2</v>
      </c>
      <c r="I61" s="136">
        <v>2.7588547976838712E-2</v>
      </c>
      <c r="J61" s="136">
        <v>2.3787111329349464E-2</v>
      </c>
      <c r="K61" s="136">
        <v>2.0729609938933805E-2</v>
      </c>
      <c r="L61" s="136">
        <v>1.8220572634227231E-2</v>
      </c>
      <c r="M61" s="136">
        <v>1.6138323417808336E-2</v>
      </c>
      <c r="N61" s="136">
        <v>1.4279475041395685E-2</v>
      </c>
      <c r="O61" s="136">
        <v>1.2751435170483669E-2</v>
      </c>
      <c r="P61" s="136">
        <v>1.1464227922992324E-2</v>
      </c>
      <c r="Q61" s="136">
        <v>1.0382281348460901E-2</v>
      </c>
      <c r="R61" s="136">
        <v>9.4601574484828189E-3</v>
      </c>
      <c r="S61" s="136">
        <v>8.6456721424677252E-3</v>
      </c>
      <c r="T61" s="136">
        <v>7.9179127185692085E-3</v>
      </c>
      <c r="U61" s="136">
        <v>7.2813623074131613E-3</v>
      </c>
      <c r="V61" s="136">
        <v>6.7211236690336686E-3</v>
      </c>
      <c r="W61" s="136">
        <v>6.2094976854213954E-3</v>
      </c>
      <c r="X61" s="136">
        <v>5.7394525157556647E-3</v>
      </c>
      <c r="Y61" s="136">
        <v>5.3219790388783763E-3</v>
      </c>
      <c r="Z61" s="136">
        <v>4.9500177240675014E-3</v>
      </c>
      <c r="AA61" s="136"/>
      <c r="AB61" s="136"/>
      <c r="AC61" s="136"/>
      <c r="AD61" s="136"/>
      <c r="AE61" s="136"/>
      <c r="AF61" s="136"/>
      <c r="AG61" s="136"/>
      <c r="AH61" s="136"/>
      <c r="AI61" s="136"/>
      <c r="AJ61" s="136"/>
      <c r="BV61" s="132"/>
      <c r="BW61" s="133"/>
    </row>
    <row r="62" spans="1:75" s="128" customFormat="1" ht="12.75" customHeight="1" x14ac:dyDescent="0.2">
      <c r="A62" s="119" t="s">
        <v>185</v>
      </c>
      <c r="B62" s="119"/>
      <c r="C62" s="136">
        <f t="shared" ref="C62:Z62" si="19">C59-C61</f>
        <v>0.40061707705755406</v>
      </c>
      <c r="D62" s="136">
        <f t="shared" si="19"/>
        <v>0.39200547375379768</v>
      </c>
      <c r="E62" s="136">
        <f t="shared" si="19"/>
        <v>0.36517157309102927</v>
      </c>
      <c r="F62" s="136">
        <f t="shared" si="19"/>
        <v>0.34140021587823316</v>
      </c>
      <c r="G62" s="136">
        <f t="shared" si="19"/>
        <v>0.31843972729515285</v>
      </c>
      <c r="H62" s="136">
        <f t="shared" si="19"/>
        <v>0.29799877385397666</v>
      </c>
      <c r="I62" s="136">
        <f t="shared" si="19"/>
        <v>0.27679240184571274</v>
      </c>
      <c r="J62" s="136">
        <f t="shared" si="19"/>
        <v>0.25615320449382345</v>
      </c>
      <c r="K62" s="136">
        <f t="shared" si="19"/>
        <v>0.23633992554223765</v>
      </c>
      <c r="L62" s="136">
        <f t="shared" si="19"/>
        <v>0.21867313388730758</v>
      </c>
      <c r="M62" s="136">
        <f t="shared" si="19"/>
        <v>0.2032269023155972</v>
      </c>
      <c r="N62" s="136">
        <f t="shared" si="19"/>
        <v>0.18918111578999577</v>
      </c>
      <c r="O62" s="136">
        <f t="shared" si="19"/>
        <v>0.17634379988269225</v>
      </c>
      <c r="P62" s="136">
        <f t="shared" si="19"/>
        <v>0.16504348172934588</v>
      </c>
      <c r="Q62" s="136">
        <f t="shared" si="19"/>
        <v>0.15461141748612919</v>
      </c>
      <c r="R62" s="136">
        <f t="shared" si="19"/>
        <v>0.14537821135521689</v>
      </c>
      <c r="S62" s="136">
        <f t="shared" si="19"/>
        <v>0.13679712005178732</v>
      </c>
      <c r="T62" s="136">
        <f t="shared" si="19"/>
        <v>0.12827824811760363</v>
      </c>
      <c r="U62" s="136">
        <f t="shared" si="19"/>
        <v>0.12117343661883956</v>
      </c>
      <c r="V62" s="136">
        <f t="shared" si="19"/>
        <v>0.11487513553172655</v>
      </c>
      <c r="W62" s="136">
        <f t="shared" si="19"/>
        <v>0.10893171429622302</v>
      </c>
      <c r="X62" s="136">
        <f t="shared" si="19"/>
        <v>0.10279325347208068</v>
      </c>
      <c r="Y62" s="136">
        <f t="shared" si="19"/>
        <v>9.7799117869630428E-2</v>
      </c>
      <c r="Z62" s="136">
        <f t="shared" si="19"/>
        <v>9.3376643012224175E-2</v>
      </c>
      <c r="AA62" s="136"/>
      <c r="AB62" s="136"/>
      <c r="AC62" s="136"/>
      <c r="AD62" s="136"/>
      <c r="AE62" s="136"/>
      <c r="AF62" s="136"/>
      <c r="AG62" s="136"/>
      <c r="AH62" s="136"/>
      <c r="AI62" s="136"/>
      <c r="AJ62" s="136"/>
      <c r="BV62" s="132"/>
      <c r="BW62" s="133"/>
    </row>
    <row r="63" spans="1:75" s="128" customFormat="1" ht="12.75" customHeight="1" x14ac:dyDescent="0.2">
      <c r="A63" s="119"/>
      <c r="B63" s="119"/>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BV63" s="132"/>
      <c r="BW63" s="133"/>
    </row>
    <row r="64" spans="1:75" s="128" customFormat="1" ht="12.75" customHeight="1" x14ac:dyDescent="0.2">
      <c r="A64" s="119" t="s">
        <v>186</v>
      </c>
      <c r="B64" s="119"/>
      <c r="C64" s="136" t="e">
        <f t="shared" ref="C64:Z64" ca="1" si="20">C59*C21*C5</f>
        <v>#NAME?</v>
      </c>
      <c r="D64" s="136" t="e">
        <f t="shared" ca="1" si="20"/>
        <v>#NAME?</v>
      </c>
      <c r="E64" s="136" t="e">
        <f t="shared" ca="1" si="20"/>
        <v>#NAME?</v>
      </c>
      <c r="F64" s="136" t="e">
        <f t="shared" ca="1" si="20"/>
        <v>#NAME?</v>
      </c>
      <c r="G64" s="136" t="e">
        <f t="shared" ca="1" si="20"/>
        <v>#NAME?</v>
      </c>
      <c r="H64" s="136" t="e">
        <f t="shared" ca="1" si="20"/>
        <v>#NAME?</v>
      </c>
      <c r="I64" s="136" t="e">
        <f t="shared" ca="1" si="20"/>
        <v>#NAME?</v>
      </c>
      <c r="J64" s="136" t="e">
        <f t="shared" ca="1" si="20"/>
        <v>#NAME?</v>
      </c>
      <c r="K64" s="136" t="e">
        <f t="shared" ca="1" si="20"/>
        <v>#NAME?</v>
      </c>
      <c r="L64" s="136" t="e">
        <f t="shared" ca="1" si="20"/>
        <v>#NAME?</v>
      </c>
      <c r="M64" s="136" t="e">
        <f t="shared" ca="1" si="20"/>
        <v>#NAME?</v>
      </c>
      <c r="N64" s="136" t="e">
        <f t="shared" ca="1" si="20"/>
        <v>#NAME?</v>
      </c>
      <c r="O64" s="136" t="e">
        <f t="shared" ca="1" si="20"/>
        <v>#NAME?</v>
      </c>
      <c r="P64" s="136" t="e">
        <f t="shared" ca="1" si="20"/>
        <v>#NAME?</v>
      </c>
      <c r="Q64" s="136" t="e">
        <f t="shared" ca="1" si="20"/>
        <v>#NAME?</v>
      </c>
      <c r="R64" s="136" t="e">
        <f t="shared" ca="1" si="20"/>
        <v>#NAME?</v>
      </c>
      <c r="S64" s="136" t="e">
        <f t="shared" ca="1" si="20"/>
        <v>#NAME?</v>
      </c>
      <c r="T64" s="136" t="e">
        <f t="shared" ca="1" si="20"/>
        <v>#NAME?</v>
      </c>
      <c r="U64" s="136" t="e">
        <f t="shared" ca="1" si="20"/>
        <v>#NAME?</v>
      </c>
      <c r="V64" s="136" t="e">
        <f t="shared" ca="1" si="20"/>
        <v>#NAME?</v>
      </c>
      <c r="W64" s="136" t="e">
        <f t="shared" ca="1" si="20"/>
        <v>#NAME?</v>
      </c>
      <c r="X64" s="136" t="e">
        <f t="shared" ca="1" si="20"/>
        <v>#NAME?</v>
      </c>
      <c r="Y64" s="136" t="e">
        <f t="shared" ca="1" si="20"/>
        <v>#NAME?</v>
      </c>
      <c r="Z64" s="136" t="e">
        <f t="shared" ca="1" si="20"/>
        <v>#NAME?</v>
      </c>
      <c r="AA64" s="136"/>
      <c r="AB64" s="136"/>
      <c r="AC64" s="136"/>
      <c r="AD64" s="136"/>
      <c r="AE64" s="136"/>
      <c r="AF64" s="136"/>
      <c r="AG64" s="136"/>
      <c r="AH64" s="136"/>
      <c r="AI64" s="136"/>
      <c r="AJ64" s="136"/>
      <c r="BV64" s="132"/>
      <c r="BW64" s="133"/>
    </row>
    <row r="65" spans="1:75" s="128" customFormat="1" ht="12.75" customHeight="1" x14ac:dyDescent="0.2">
      <c r="A65" s="119" t="s">
        <v>187</v>
      </c>
      <c r="B65" s="119"/>
      <c r="C65" s="136" t="e">
        <f t="shared" ref="C65:Z65" ca="1" si="21">MAX(0.04*C64,0)</f>
        <v>#NAME?</v>
      </c>
      <c r="D65" s="136" t="e">
        <f t="shared" ca="1" si="21"/>
        <v>#NAME?</v>
      </c>
      <c r="E65" s="136" t="e">
        <f t="shared" ca="1" si="21"/>
        <v>#NAME?</v>
      </c>
      <c r="F65" s="136" t="e">
        <f t="shared" ca="1" si="21"/>
        <v>#NAME?</v>
      </c>
      <c r="G65" s="136" t="e">
        <f t="shared" ca="1" si="21"/>
        <v>#NAME?</v>
      </c>
      <c r="H65" s="136" t="e">
        <f t="shared" ca="1" si="21"/>
        <v>#NAME?</v>
      </c>
      <c r="I65" s="136" t="e">
        <f t="shared" ca="1" si="21"/>
        <v>#NAME?</v>
      </c>
      <c r="J65" s="136" t="e">
        <f t="shared" ca="1" si="21"/>
        <v>#NAME?</v>
      </c>
      <c r="K65" s="136" t="e">
        <f t="shared" ca="1" si="21"/>
        <v>#NAME?</v>
      </c>
      <c r="L65" s="136" t="e">
        <f t="shared" ca="1" si="21"/>
        <v>#NAME?</v>
      </c>
      <c r="M65" s="136" t="e">
        <f t="shared" ca="1" si="21"/>
        <v>#NAME?</v>
      </c>
      <c r="N65" s="136" t="e">
        <f t="shared" ca="1" si="21"/>
        <v>#NAME?</v>
      </c>
      <c r="O65" s="136" t="e">
        <f t="shared" ca="1" si="21"/>
        <v>#NAME?</v>
      </c>
      <c r="P65" s="136" t="e">
        <f t="shared" ca="1" si="21"/>
        <v>#NAME?</v>
      </c>
      <c r="Q65" s="136" t="e">
        <f t="shared" ca="1" si="21"/>
        <v>#NAME?</v>
      </c>
      <c r="R65" s="136" t="e">
        <f t="shared" ca="1" si="21"/>
        <v>#NAME?</v>
      </c>
      <c r="S65" s="136" t="e">
        <f t="shared" ca="1" si="21"/>
        <v>#NAME?</v>
      </c>
      <c r="T65" s="136" t="e">
        <f t="shared" ca="1" si="21"/>
        <v>#NAME?</v>
      </c>
      <c r="U65" s="136" t="e">
        <f t="shared" ca="1" si="21"/>
        <v>#NAME?</v>
      </c>
      <c r="V65" s="136" t="e">
        <f t="shared" ca="1" si="21"/>
        <v>#NAME?</v>
      </c>
      <c r="W65" s="136" t="e">
        <f t="shared" ca="1" si="21"/>
        <v>#NAME?</v>
      </c>
      <c r="X65" s="136" t="e">
        <f t="shared" ca="1" si="21"/>
        <v>#NAME?</v>
      </c>
      <c r="Y65" s="136" t="e">
        <f t="shared" ca="1" si="21"/>
        <v>#NAME?</v>
      </c>
      <c r="Z65" s="136" t="e">
        <f t="shared" ca="1" si="21"/>
        <v>#NAME?</v>
      </c>
      <c r="AA65" s="212"/>
      <c r="AB65" s="212"/>
      <c r="AC65" s="212"/>
      <c r="AD65" s="212"/>
      <c r="AE65" s="212"/>
      <c r="AF65" s="212"/>
      <c r="AG65" s="212"/>
      <c r="AH65" s="212"/>
      <c r="AI65" s="212"/>
      <c r="AJ65" s="212"/>
      <c r="BV65" s="132"/>
      <c r="BW65" s="133"/>
    </row>
    <row r="66" spans="1:75" s="128" customFormat="1" ht="12.75" customHeight="1" x14ac:dyDescent="0.2">
      <c r="A66" s="119"/>
      <c r="B66" s="119"/>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BV66" s="132"/>
      <c r="BW66" s="133"/>
    </row>
    <row r="67" spans="1:75" s="128" customFormat="1" ht="12.75" customHeight="1" x14ac:dyDescent="0.2">
      <c r="A67" s="119" t="s">
        <v>188</v>
      </c>
      <c r="B67" s="119"/>
      <c r="C67" s="120">
        <f t="shared" ref="C67:Z67" si="22">C41</f>
        <v>5827.5240579496276</v>
      </c>
      <c r="D67" s="120">
        <f t="shared" si="22"/>
        <v>6015.970313057237</v>
      </c>
      <c r="E67" s="120">
        <f t="shared" si="22"/>
        <v>5838.4793621478711</v>
      </c>
      <c r="F67" s="120">
        <f t="shared" si="22"/>
        <v>5504.5441859495295</v>
      </c>
      <c r="G67" s="120">
        <f t="shared" si="22"/>
        <v>5252.8517330197483</v>
      </c>
      <c r="H67" s="120">
        <f t="shared" si="22"/>
        <v>4947.7387623893246</v>
      </c>
      <c r="I67" s="120">
        <f t="shared" si="22"/>
        <v>4666.8869651983914</v>
      </c>
      <c r="J67" s="120">
        <f t="shared" si="22"/>
        <v>4380.6619349444682</v>
      </c>
      <c r="K67" s="120">
        <f t="shared" si="22"/>
        <v>4119.455727900171</v>
      </c>
      <c r="L67" s="120">
        <f t="shared" si="22"/>
        <v>3884.4332161497414</v>
      </c>
      <c r="M67" s="120">
        <f t="shared" si="22"/>
        <v>3677.7792896733545</v>
      </c>
      <c r="N67" s="120">
        <f t="shared" si="22"/>
        <v>3493.8065501011497</v>
      </c>
      <c r="O67" s="120">
        <f t="shared" si="22"/>
        <v>3324.6419847940747</v>
      </c>
      <c r="P67" s="120">
        <f t="shared" si="22"/>
        <v>3167.4264833541561</v>
      </c>
      <c r="Q67" s="120">
        <f t="shared" si="22"/>
        <v>3028.5023748058197</v>
      </c>
      <c r="R67" s="120">
        <f t="shared" si="22"/>
        <v>2905.6862456376748</v>
      </c>
      <c r="S67" s="120">
        <f t="shared" si="22"/>
        <v>2789.4296128978776</v>
      </c>
      <c r="T67" s="120">
        <f t="shared" si="22"/>
        <v>2678.4370556038216</v>
      </c>
      <c r="U67" s="120">
        <f t="shared" si="22"/>
        <v>2580.0902661943355</v>
      </c>
      <c r="V67" s="120">
        <f t="shared" si="22"/>
        <v>2493.1195547365705</v>
      </c>
      <c r="W67" s="120">
        <f t="shared" si="22"/>
        <v>2408.876291259071</v>
      </c>
      <c r="X67" s="120">
        <f t="shared" si="22"/>
        <v>2326.7451936147891</v>
      </c>
      <c r="Y67" s="120">
        <f t="shared" si="22"/>
        <v>2254.0609983630293</v>
      </c>
      <c r="Z67" s="120">
        <f t="shared" si="22"/>
        <v>1938.8912326604286</v>
      </c>
      <c r="AA67" s="120"/>
      <c r="AB67" s="120"/>
      <c r="AC67" s="120"/>
      <c r="AD67" s="120"/>
      <c r="AE67" s="120"/>
      <c r="AF67" s="120"/>
      <c r="AG67" s="120"/>
      <c r="AH67" s="120"/>
      <c r="AI67" s="120"/>
      <c r="AJ67" s="120"/>
      <c r="BV67" s="132"/>
      <c r="BW67" s="133"/>
    </row>
    <row r="68" spans="1:75" s="128" customFormat="1" ht="12.75" customHeight="1" x14ac:dyDescent="0.2">
      <c r="A68" s="128" t="s">
        <v>189</v>
      </c>
      <c r="B68" s="119"/>
      <c r="C68" s="135" t="e">
        <f t="shared" ref="C68:Z68" ca="1" si="23">C64-C67</f>
        <v>#NAME?</v>
      </c>
      <c r="D68" s="135" t="e">
        <f t="shared" ca="1" si="23"/>
        <v>#NAME?</v>
      </c>
      <c r="E68" s="135" t="e">
        <f t="shared" ca="1" si="23"/>
        <v>#NAME?</v>
      </c>
      <c r="F68" s="135" t="e">
        <f t="shared" ca="1" si="23"/>
        <v>#NAME?</v>
      </c>
      <c r="G68" s="135" t="e">
        <f t="shared" ca="1" si="23"/>
        <v>#NAME?</v>
      </c>
      <c r="H68" s="135" t="e">
        <f t="shared" ca="1" si="23"/>
        <v>#NAME?</v>
      </c>
      <c r="I68" s="135" t="e">
        <f t="shared" ca="1" si="23"/>
        <v>#NAME?</v>
      </c>
      <c r="J68" s="135" t="e">
        <f t="shared" ca="1" si="23"/>
        <v>#NAME?</v>
      </c>
      <c r="K68" s="135" t="e">
        <f t="shared" ca="1" si="23"/>
        <v>#NAME?</v>
      </c>
      <c r="L68" s="135" t="e">
        <f t="shared" ca="1" si="23"/>
        <v>#NAME?</v>
      </c>
      <c r="M68" s="135" t="e">
        <f t="shared" ca="1" si="23"/>
        <v>#NAME?</v>
      </c>
      <c r="N68" s="135" t="e">
        <f t="shared" ca="1" si="23"/>
        <v>#NAME?</v>
      </c>
      <c r="O68" s="135" t="e">
        <f t="shared" ca="1" si="23"/>
        <v>#NAME?</v>
      </c>
      <c r="P68" s="135" t="e">
        <f t="shared" ca="1" si="23"/>
        <v>#NAME?</v>
      </c>
      <c r="Q68" s="135" t="e">
        <f t="shared" ca="1" si="23"/>
        <v>#NAME?</v>
      </c>
      <c r="R68" s="135" t="e">
        <f t="shared" ca="1" si="23"/>
        <v>#NAME?</v>
      </c>
      <c r="S68" s="135" t="e">
        <f t="shared" ca="1" si="23"/>
        <v>#NAME?</v>
      </c>
      <c r="T68" s="135" t="e">
        <f t="shared" ca="1" si="23"/>
        <v>#NAME?</v>
      </c>
      <c r="U68" s="135" t="e">
        <f t="shared" ca="1" si="23"/>
        <v>#NAME?</v>
      </c>
      <c r="V68" s="135" t="e">
        <f t="shared" ca="1" si="23"/>
        <v>#NAME?</v>
      </c>
      <c r="W68" s="135" t="e">
        <f t="shared" ca="1" si="23"/>
        <v>#NAME?</v>
      </c>
      <c r="X68" s="135" t="e">
        <f t="shared" ca="1" si="23"/>
        <v>#NAME?</v>
      </c>
      <c r="Y68" s="135" t="e">
        <f t="shared" ca="1" si="23"/>
        <v>#NAME?</v>
      </c>
      <c r="Z68" s="135" t="e">
        <f t="shared" ca="1" si="23"/>
        <v>#NAME?</v>
      </c>
      <c r="AA68" s="135"/>
      <c r="AB68" s="135"/>
      <c r="AC68" s="135"/>
      <c r="AD68" s="135"/>
      <c r="AE68" s="135"/>
      <c r="AF68" s="135"/>
      <c r="AG68" s="135"/>
      <c r="AH68" s="135"/>
      <c r="AI68" s="135"/>
      <c r="AJ68" s="135"/>
      <c r="BV68" s="132"/>
      <c r="BW68" s="133"/>
    </row>
    <row r="69" spans="1:75" s="128" customFormat="1" ht="12.75" customHeight="1" x14ac:dyDescent="0.2">
      <c r="A69" s="119" t="s">
        <v>190</v>
      </c>
      <c r="B69" s="119"/>
      <c r="C69" s="213" t="e">
        <f t="shared" ref="C69:Z69" ca="1" si="24">C68/(C59*C5)</f>
        <v>#NAME?</v>
      </c>
      <c r="D69" s="213" t="e">
        <f t="shared" ca="1" si="24"/>
        <v>#NAME?</v>
      </c>
      <c r="E69" s="213" t="e">
        <f t="shared" ca="1" si="24"/>
        <v>#NAME?</v>
      </c>
      <c r="F69" s="213" t="e">
        <f t="shared" ca="1" si="24"/>
        <v>#NAME?</v>
      </c>
      <c r="G69" s="213" t="e">
        <f t="shared" ca="1" si="24"/>
        <v>#NAME?</v>
      </c>
      <c r="H69" s="213" t="e">
        <f t="shared" ca="1" si="24"/>
        <v>#NAME?</v>
      </c>
      <c r="I69" s="213" t="e">
        <f t="shared" ca="1" si="24"/>
        <v>#NAME?</v>
      </c>
      <c r="J69" s="213" t="e">
        <f t="shared" ca="1" si="24"/>
        <v>#NAME?</v>
      </c>
      <c r="K69" s="213" t="e">
        <f t="shared" ca="1" si="24"/>
        <v>#NAME?</v>
      </c>
      <c r="L69" s="213" t="e">
        <f t="shared" ca="1" si="24"/>
        <v>#NAME?</v>
      </c>
      <c r="M69" s="213" t="e">
        <f t="shared" ca="1" si="24"/>
        <v>#NAME?</v>
      </c>
      <c r="N69" s="213" t="e">
        <f t="shared" ca="1" si="24"/>
        <v>#NAME?</v>
      </c>
      <c r="O69" s="213" t="e">
        <f t="shared" ca="1" si="24"/>
        <v>#NAME?</v>
      </c>
      <c r="P69" s="213" t="e">
        <f t="shared" ca="1" si="24"/>
        <v>#NAME?</v>
      </c>
      <c r="Q69" s="213" t="e">
        <f t="shared" ca="1" si="24"/>
        <v>#NAME?</v>
      </c>
      <c r="R69" s="213" t="e">
        <f t="shared" ca="1" si="24"/>
        <v>#NAME?</v>
      </c>
      <c r="S69" s="213" t="e">
        <f t="shared" ca="1" si="24"/>
        <v>#NAME?</v>
      </c>
      <c r="T69" s="213" t="e">
        <f t="shared" ca="1" si="24"/>
        <v>#NAME?</v>
      </c>
      <c r="U69" s="213" t="e">
        <f t="shared" ca="1" si="24"/>
        <v>#NAME?</v>
      </c>
      <c r="V69" s="213" t="e">
        <f t="shared" ca="1" si="24"/>
        <v>#NAME?</v>
      </c>
      <c r="W69" s="213" t="e">
        <f t="shared" ca="1" si="24"/>
        <v>#NAME?</v>
      </c>
      <c r="X69" s="213" t="e">
        <f t="shared" ca="1" si="24"/>
        <v>#NAME?</v>
      </c>
      <c r="Y69" s="213" t="e">
        <f t="shared" ca="1" si="24"/>
        <v>#NAME?</v>
      </c>
      <c r="Z69" s="213" t="e">
        <f t="shared" ca="1" si="24"/>
        <v>#NAME?</v>
      </c>
      <c r="AA69" s="120"/>
      <c r="AB69" s="120"/>
      <c r="AC69" s="120"/>
      <c r="AD69" s="120"/>
      <c r="AE69" s="120"/>
      <c r="AF69" s="120"/>
      <c r="AG69" s="120"/>
      <c r="AH69" s="120"/>
      <c r="AI69" s="120"/>
      <c r="AJ69" s="120"/>
      <c r="BV69" s="132"/>
      <c r="BW69" s="133"/>
    </row>
    <row r="70" spans="1:75" s="128" customFormat="1" ht="12.75" customHeight="1" x14ac:dyDescent="0.2">
      <c r="A70" s="119"/>
      <c r="B70" s="119"/>
      <c r="C70" s="213"/>
      <c r="D70" s="213"/>
      <c r="E70" s="213"/>
      <c r="F70" s="213"/>
      <c r="G70" s="213"/>
      <c r="H70" s="213"/>
      <c r="I70" s="213"/>
      <c r="J70" s="213"/>
      <c r="K70" s="213"/>
      <c r="L70" s="213"/>
      <c r="M70" s="213"/>
      <c r="N70" s="213"/>
      <c r="O70" s="213"/>
      <c r="P70" s="213"/>
      <c r="Q70" s="213"/>
      <c r="R70" s="213"/>
      <c r="S70" s="213"/>
      <c r="T70" s="213"/>
      <c r="U70" s="213"/>
      <c r="V70" s="213"/>
      <c r="W70" s="213"/>
      <c r="X70" s="213"/>
      <c r="Y70" s="213"/>
      <c r="Z70" s="213"/>
      <c r="AA70" s="120"/>
      <c r="AB70" s="120"/>
      <c r="AC70" s="120"/>
      <c r="AD70" s="120"/>
      <c r="AE70" s="120"/>
      <c r="AF70" s="120"/>
      <c r="AG70" s="120"/>
      <c r="AH70" s="120"/>
      <c r="AI70" s="120"/>
      <c r="AJ70" s="120"/>
      <c r="BV70" s="132"/>
      <c r="BW70" s="133"/>
    </row>
    <row r="71" spans="1:75" s="128" customFormat="1" ht="12.75" customHeight="1" x14ac:dyDescent="0.2">
      <c r="A71" s="128" t="s">
        <v>191</v>
      </c>
      <c r="B71" s="119"/>
      <c r="C71" s="214" t="e">
        <f t="shared" ref="C71:Z71" ca="1" si="25">(C61*C5*C21*0.2)</f>
        <v>#NAME?</v>
      </c>
      <c r="D71" s="214" t="e">
        <f t="shared" ca="1" si="25"/>
        <v>#NAME?</v>
      </c>
      <c r="E71" s="214" t="e">
        <f t="shared" ca="1" si="25"/>
        <v>#NAME?</v>
      </c>
      <c r="F71" s="214" t="e">
        <f t="shared" ca="1" si="25"/>
        <v>#NAME?</v>
      </c>
      <c r="G71" s="214" t="e">
        <f t="shared" ca="1" si="25"/>
        <v>#NAME?</v>
      </c>
      <c r="H71" s="214" t="e">
        <f t="shared" ca="1" si="25"/>
        <v>#NAME?</v>
      </c>
      <c r="I71" s="214" t="e">
        <f t="shared" ca="1" si="25"/>
        <v>#NAME?</v>
      </c>
      <c r="J71" s="214" t="e">
        <f t="shared" ca="1" si="25"/>
        <v>#NAME?</v>
      </c>
      <c r="K71" s="214" t="e">
        <f t="shared" ca="1" si="25"/>
        <v>#NAME?</v>
      </c>
      <c r="L71" s="214" t="e">
        <f t="shared" ca="1" si="25"/>
        <v>#NAME?</v>
      </c>
      <c r="M71" s="214" t="e">
        <f t="shared" ca="1" si="25"/>
        <v>#NAME?</v>
      </c>
      <c r="N71" s="214" t="e">
        <f t="shared" ca="1" si="25"/>
        <v>#NAME?</v>
      </c>
      <c r="O71" s="214" t="e">
        <f t="shared" ca="1" si="25"/>
        <v>#NAME?</v>
      </c>
      <c r="P71" s="214" t="e">
        <f t="shared" ca="1" si="25"/>
        <v>#NAME?</v>
      </c>
      <c r="Q71" s="214" t="e">
        <f t="shared" ca="1" si="25"/>
        <v>#NAME?</v>
      </c>
      <c r="R71" s="214" t="e">
        <f t="shared" ca="1" si="25"/>
        <v>#NAME?</v>
      </c>
      <c r="S71" s="214" t="e">
        <f t="shared" ca="1" si="25"/>
        <v>#NAME?</v>
      </c>
      <c r="T71" s="214" t="e">
        <f t="shared" ca="1" si="25"/>
        <v>#NAME?</v>
      </c>
      <c r="U71" s="214" t="e">
        <f t="shared" ca="1" si="25"/>
        <v>#NAME?</v>
      </c>
      <c r="V71" s="214" t="e">
        <f t="shared" ca="1" si="25"/>
        <v>#NAME?</v>
      </c>
      <c r="W71" s="214" t="e">
        <f t="shared" ca="1" si="25"/>
        <v>#NAME?</v>
      </c>
      <c r="X71" s="214" t="e">
        <f t="shared" ca="1" si="25"/>
        <v>#NAME?</v>
      </c>
      <c r="Y71" s="214" t="e">
        <f t="shared" ca="1" si="25"/>
        <v>#NAME?</v>
      </c>
      <c r="Z71" s="214" t="e">
        <f t="shared" ca="1" si="25"/>
        <v>#NAME?</v>
      </c>
      <c r="AA71" s="214"/>
      <c r="AB71" s="214"/>
      <c r="AC71" s="214"/>
      <c r="AD71" s="214"/>
      <c r="AE71" s="214"/>
      <c r="AF71" s="214"/>
      <c r="AG71" s="214"/>
      <c r="AH71" s="214"/>
      <c r="AI71" s="214"/>
      <c r="AJ71" s="131"/>
      <c r="BV71" s="132"/>
      <c r="BW71" s="133"/>
    </row>
    <row r="72" spans="1:75" s="128" customFormat="1" ht="12.75" customHeight="1" x14ac:dyDescent="0.2">
      <c r="A72" s="119" t="s">
        <v>192</v>
      </c>
      <c r="B72" s="119"/>
      <c r="C72" s="213" t="e">
        <f t="shared" ref="C72:Z72" ca="1" si="26">C68-C71</f>
        <v>#NAME?</v>
      </c>
      <c r="D72" s="213" t="e">
        <f ca="1">D68-D71</f>
        <v>#NAME?</v>
      </c>
      <c r="E72" s="213" t="e">
        <f t="shared" ca="1" si="26"/>
        <v>#NAME?</v>
      </c>
      <c r="F72" s="213" t="e">
        <f t="shared" ca="1" si="26"/>
        <v>#NAME?</v>
      </c>
      <c r="G72" s="213" t="e">
        <f t="shared" ca="1" si="26"/>
        <v>#NAME?</v>
      </c>
      <c r="H72" s="213" t="e">
        <f t="shared" ca="1" si="26"/>
        <v>#NAME?</v>
      </c>
      <c r="I72" s="213" t="e">
        <f t="shared" ca="1" si="26"/>
        <v>#NAME?</v>
      </c>
      <c r="J72" s="213" t="e">
        <f t="shared" ca="1" si="26"/>
        <v>#NAME?</v>
      </c>
      <c r="K72" s="213" t="e">
        <f t="shared" ca="1" si="26"/>
        <v>#NAME?</v>
      </c>
      <c r="L72" s="213" t="e">
        <f t="shared" ca="1" si="26"/>
        <v>#NAME?</v>
      </c>
      <c r="M72" s="213" t="e">
        <f t="shared" ca="1" si="26"/>
        <v>#NAME?</v>
      </c>
      <c r="N72" s="213" t="e">
        <f t="shared" ca="1" si="26"/>
        <v>#NAME?</v>
      </c>
      <c r="O72" s="213" t="e">
        <f t="shared" ca="1" si="26"/>
        <v>#NAME?</v>
      </c>
      <c r="P72" s="213" t="e">
        <f t="shared" ca="1" si="26"/>
        <v>#NAME?</v>
      </c>
      <c r="Q72" s="213" t="e">
        <f t="shared" ca="1" si="26"/>
        <v>#NAME?</v>
      </c>
      <c r="R72" s="213" t="e">
        <f t="shared" ca="1" si="26"/>
        <v>#NAME?</v>
      </c>
      <c r="S72" s="213" t="e">
        <f t="shared" ca="1" si="26"/>
        <v>#NAME?</v>
      </c>
      <c r="T72" s="213" t="e">
        <f t="shared" ca="1" si="26"/>
        <v>#NAME?</v>
      </c>
      <c r="U72" s="213" t="e">
        <f t="shared" ca="1" si="26"/>
        <v>#NAME?</v>
      </c>
      <c r="V72" s="213" t="e">
        <f t="shared" ca="1" si="26"/>
        <v>#NAME?</v>
      </c>
      <c r="W72" s="213" t="e">
        <f t="shared" ca="1" si="26"/>
        <v>#NAME?</v>
      </c>
      <c r="X72" s="213" t="e">
        <f t="shared" ca="1" si="26"/>
        <v>#NAME?</v>
      </c>
      <c r="Y72" s="213" t="e">
        <f t="shared" ca="1" si="26"/>
        <v>#NAME?</v>
      </c>
      <c r="Z72" s="213" t="e">
        <f t="shared" ca="1" si="26"/>
        <v>#NAME?</v>
      </c>
      <c r="AA72" s="120"/>
      <c r="AB72" s="120"/>
      <c r="AC72" s="120"/>
      <c r="AD72" s="120"/>
      <c r="AE72" s="120"/>
      <c r="AF72" s="120"/>
      <c r="AG72" s="120"/>
      <c r="AH72" s="120"/>
      <c r="AI72" s="120"/>
      <c r="AJ72" s="120"/>
      <c r="BV72" s="132"/>
      <c r="BW72" s="133"/>
    </row>
    <row r="73" spans="1:75" s="141" customFormat="1" ht="12.75" customHeight="1" x14ac:dyDescent="0.2">
      <c r="A73" s="215"/>
      <c r="B73" s="119"/>
      <c r="C73" s="216"/>
      <c r="D73" s="216"/>
      <c r="E73" s="216"/>
      <c r="F73" s="216"/>
      <c r="G73" s="216"/>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BV73" s="144"/>
      <c r="BW73" s="145"/>
    </row>
    <row r="74" spans="1:75" s="128" customFormat="1" ht="12.75" customHeight="1" x14ac:dyDescent="0.2">
      <c r="A74" s="119" t="s">
        <v>193</v>
      </c>
      <c r="B74" s="119"/>
      <c r="C74" s="120">
        <v>0.35</v>
      </c>
      <c r="D74" s="120">
        <v>0.35</v>
      </c>
      <c r="E74" s="120">
        <v>0.35</v>
      </c>
      <c r="F74" s="120">
        <v>0.35</v>
      </c>
      <c r="G74" s="120">
        <v>0.35</v>
      </c>
      <c r="H74" s="120">
        <v>0.35</v>
      </c>
      <c r="I74" s="120">
        <v>0.35</v>
      </c>
      <c r="J74" s="120">
        <v>0.35</v>
      </c>
      <c r="K74" s="120">
        <v>0.35</v>
      </c>
      <c r="L74" s="120">
        <v>0.35</v>
      </c>
      <c r="M74" s="120">
        <v>0.35</v>
      </c>
      <c r="N74" s="120">
        <v>0.35</v>
      </c>
      <c r="O74" s="120">
        <v>0.35</v>
      </c>
      <c r="P74" s="120">
        <v>0.35</v>
      </c>
      <c r="Q74" s="120">
        <v>0.35</v>
      </c>
      <c r="R74" s="120">
        <v>0.35</v>
      </c>
      <c r="S74" s="120">
        <v>0.35</v>
      </c>
      <c r="T74" s="120">
        <v>0.35</v>
      </c>
      <c r="U74" s="120">
        <v>0.35</v>
      </c>
      <c r="V74" s="120">
        <v>0.35</v>
      </c>
      <c r="W74" s="120">
        <v>0.35</v>
      </c>
      <c r="X74" s="120">
        <v>0.35</v>
      </c>
      <c r="Y74" s="120">
        <v>0.35</v>
      </c>
      <c r="Z74" s="120">
        <v>0.35</v>
      </c>
      <c r="AA74" s="217"/>
      <c r="AB74" s="217"/>
      <c r="AC74" s="217"/>
      <c r="AD74" s="217"/>
      <c r="AE74" s="217"/>
      <c r="AF74" s="217"/>
      <c r="AG74" s="217"/>
      <c r="AH74" s="217"/>
      <c r="AI74" s="217"/>
      <c r="AJ74" s="217"/>
      <c r="BV74" s="132"/>
      <c r="BW74" s="133"/>
    </row>
    <row r="75" spans="1:75" s="128" customFormat="1" ht="12.75" customHeight="1" x14ac:dyDescent="0.2">
      <c r="A75" s="128" t="s">
        <v>194</v>
      </c>
      <c r="B75" s="119"/>
      <c r="C75" s="214">
        <v>0</v>
      </c>
      <c r="D75" s="214">
        <v>0</v>
      </c>
      <c r="E75" s="214">
        <v>0</v>
      </c>
      <c r="F75" s="214">
        <v>0</v>
      </c>
      <c r="G75" s="214">
        <v>0</v>
      </c>
      <c r="H75" s="214">
        <v>0</v>
      </c>
      <c r="I75" s="214">
        <v>0</v>
      </c>
      <c r="J75" s="214">
        <v>0</v>
      </c>
      <c r="K75" s="214">
        <v>0</v>
      </c>
      <c r="L75" s="214">
        <v>0</v>
      </c>
      <c r="M75" s="214">
        <v>0</v>
      </c>
      <c r="N75" s="214">
        <v>0</v>
      </c>
      <c r="O75" s="214">
        <v>0</v>
      </c>
      <c r="P75" s="214">
        <v>0</v>
      </c>
      <c r="Q75" s="214">
        <v>0</v>
      </c>
      <c r="R75" s="214">
        <v>0</v>
      </c>
      <c r="S75" s="214">
        <v>0</v>
      </c>
      <c r="T75" s="214">
        <v>0</v>
      </c>
      <c r="U75" s="214">
        <v>0</v>
      </c>
      <c r="V75" s="214">
        <v>0</v>
      </c>
      <c r="W75" s="214">
        <v>0</v>
      </c>
      <c r="X75" s="214">
        <v>0</v>
      </c>
      <c r="Y75" s="214">
        <v>0</v>
      </c>
      <c r="Z75" s="214">
        <v>0</v>
      </c>
      <c r="AA75" s="214"/>
      <c r="AB75" s="214"/>
      <c r="AC75" s="214"/>
      <c r="AD75" s="214"/>
      <c r="AE75" s="214"/>
      <c r="AF75" s="214"/>
      <c r="AG75" s="214"/>
      <c r="AH75" s="214"/>
      <c r="AI75" s="214"/>
      <c r="AJ75" s="131"/>
      <c r="BV75" s="132"/>
      <c r="BW75" s="133"/>
    </row>
    <row r="76" spans="1:75" s="128" customFormat="1" ht="12.75" customHeight="1" x14ac:dyDescent="0.2">
      <c r="A76" s="119" t="s">
        <v>195</v>
      </c>
      <c r="B76" s="119"/>
      <c r="C76" s="120" t="e">
        <f t="shared" ref="C76:Z76" ca="1" si="27">MAX(C72*(C74+C75),C65)</f>
        <v>#NAME?</v>
      </c>
      <c r="D76" s="120" t="e">
        <f ca="1">MAX(D72*(D74+D75),D65)</f>
        <v>#NAME?</v>
      </c>
      <c r="E76" s="120" t="e">
        <f ca="1">MAX(E72*(E74+E75),E65)</f>
        <v>#NAME?</v>
      </c>
      <c r="F76" s="120" t="e">
        <f t="shared" ca="1" si="27"/>
        <v>#NAME?</v>
      </c>
      <c r="G76" s="120" t="e">
        <f t="shared" ca="1" si="27"/>
        <v>#NAME?</v>
      </c>
      <c r="H76" s="120" t="e">
        <f t="shared" ca="1" si="27"/>
        <v>#NAME?</v>
      </c>
      <c r="I76" s="120" t="e">
        <f t="shared" ca="1" si="27"/>
        <v>#NAME?</v>
      </c>
      <c r="J76" s="120" t="e">
        <f t="shared" ca="1" si="27"/>
        <v>#NAME?</v>
      </c>
      <c r="K76" s="120" t="e">
        <f t="shared" ca="1" si="27"/>
        <v>#NAME?</v>
      </c>
      <c r="L76" s="120" t="e">
        <f t="shared" ca="1" si="27"/>
        <v>#NAME?</v>
      </c>
      <c r="M76" s="120" t="e">
        <f t="shared" ca="1" si="27"/>
        <v>#NAME?</v>
      </c>
      <c r="N76" s="120" t="e">
        <f t="shared" ca="1" si="27"/>
        <v>#NAME?</v>
      </c>
      <c r="O76" s="120" t="e">
        <f t="shared" ca="1" si="27"/>
        <v>#NAME?</v>
      </c>
      <c r="P76" s="120" t="e">
        <f t="shared" ca="1" si="27"/>
        <v>#NAME?</v>
      </c>
      <c r="Q76" s="120" t="e">
        <f t="shared" ca="1" si="27"/>
        <v>#NAME?</v>
      </c>
      <c r="R76" s="120" t="e">
        <f t="shared" ca="1" si="27"/>
        <v>#NAME?</v>
      </c>
      <c r="S76" s="120" t="e">
        <f t="shared" ca="1" si="27"/>
        <v>#NAME?</v>
      </c>
      <c r="T76" s="120" t="e">
        <f t="shared" ca="1" si="27"/>
        <v>#NAME?</v>
      </c>
      <c r="U76" s="120" t="e">
        <f t="shared" ca="1" si="27"/>
        <v>#NAME?</v>
      </c>
      <c r="V76" s="120" t="e">
        <f t="shared" ca="1" si="27"/>
        <v>#NAME?</v>
      </c>
      <c r="W76" s="120" t="e">
        <f t="shared" ca="1" si="27"/>
        <v>#NAME?</v>
      </c>
      <c r="X76" s="120" t="e">
        <f t="shared" ca="1" si="27"/>
        <v>#NAME?</v>
      </c>
      <c r="Y76" s="120" t="e">
        <f t="shared" ca="1" si="27"/>
        <v>#NAME?</v>
      </c>
      <c r="Z76" s="120" t="e">
        <f t="shared" ca="1" si="27"/>
        <v>#NAME?</v>
      </c>
      <c r="AA76" s="120"/>
      <c r="AB76" s="120"/>
      <c r="AC76" s="120"/>
      <c r="AD76" s="120"/>
      <c r="AE76" s="120"/>
      <c r="AF76" s="120"/>
      <c r="AG76" s="120"/>
      <c r="AH76" s="120"/>
      <c r="AI76" s="120"/>
      <c r="AJ76" s="120"/>
      <c r="BV76" s="132"/>
      <c r="BW76" s="133"/>
    </row>
    <row r="77" spans="1:75" s="128" customFormat="1" ht="12.75" customHeight="1" x14ac:dyDescent="0.2">
      <c r="B77" s="119"/>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row>
    <row r="78" spans="1:75" s="128" customFormat="1" ht="12.75" customHeight="1" x14ac:dyDescent="0.2">
      <c r="A78" s="128" t="s">
        <v>196</v>
      </c>
      <c r="B78" s="119"/>
      <c r="C78" s="131" t="e">
        <f t="shared" ref="C78:Z78" ca="1" si="28">LOOKUP(C9,$C$200:$C$216,$D$200:$D$216)</f>
        <v>#NAME?</v>
      </c>
      <c r="D78" s="131" t="e">
        <f t="shared" ca="1" si="28"/>
        <v>#NAME?</v>
      </c>
      <c r="E78" s="131" t="e">
        <f t="shared" ca="1" si="28"/>
        <v>#NAME?</v>
      </c>
      <c r="F78" s="131" t="e">
        <f t="shared" ca="1" si="28"/>
        <v>#NAME?</v>
      </c>
      <c r="G78" s="131" t="e">
        <f t="shared" ca="1" si="28"/>
        <v>#NAME?</v>
      </c>
      <c r="H78" s="131" t="e">
        <f t="shared" ca="1" si="28"/>
        <v>#NAME?</v>
      </c>
      <c r="I78" s="131" t="e">
        <f t="shared" ca="1" si="28"/>
        <v>#NAME?</v>
      </c>
      <c r="J78" s="131" t="e">
        <f t="shared" ca="1" si="28"/>
        <v>#NAME?</v>
      </c>
      <c r="K78" s="131" t="e">
        <f t="shared" ca="1" si="28"/>
        <v>#NAME?</v>
      </c>
      <c r="L78" s="131" t="e">
        <f t="shared" ca="1" si="28"/>
        <v>#NAME?</v>
      </c>
      <c r="M78" s="131" t="e">
        <f t="shared" ca="1" si="28"/>
        <v>#NAME?</v>
      </c>
      <c r="N78" s="131" t="e">
        <f t="shared" ca="1" si="28"/>
        <v>#NAME?</v>
      </c>
      <c r="O78" s="131" t="e">
        <f t="shared" ca="1" si="28"/>
        <v>#NAME?</v>
      </c>
      <c r="P78" s="131" t="e">
        <f t="shared" ca="1" si="28"/>
        <v>#NAME?</v>
      </c>
      <c r="Q78" s="131" t="e">
        <f t="shared" ca="1" si="28"/>
        <v>#NAME?</v>
      </c>
      <c r="R78" s="131" t="e">
        <f t="shared" ca="1" si="28"/>
        <v>#NAME?</v>
      </c>
      <c r="S78" s="131" t="e">
        <f t="shared" ca="1" si="28"/>
        <v>#NAME?</v>
      </c>
      <c r="T78" s="131" t="e">
        <f t="shared" ca="1" si="28"/>
        <v>#NAME?</v>
      </c>
      <c r="U78" s="131" t="e">
        <f t="shared" ca="1" si="28"/>
        <v>#NAME?</v>
      </c>
      <c r="V78" s="131" t="e">
        <f t="shared" ca="1" si="28"/>
        <v>#NAME?</v>
      </c>
      <c r="W78" s="131" t="e">
        <f t="shared" ca="1" si="28"/>
        <v>#NAME?</v>
      </c>
      <c r="X78" s="131" t="e">
        <f t="shared" ca="1" si="28"/>
        <v>#NAME?</v>
      </c>
      <c r="Y78" s="131" t="e">
        <f t="shared" ca="1" si="28"/>
        <v>#NAME?</v>
      </c>
      <c r="Z78" s="131" t="e">
        <f t="shared" ca="1" si="28"/>
        <v>#NAME?</v>
      </c>
      <c r="AA78" s="131"/>
      <c r="AB78" s="131"/>
      <c r="AC78" s="131"/>
      <c r="AD78" s="131"/>
      <c r="AE78" s="131"/>
      <c r="AF78" s="131"/>
      <c r="AG78" s="131"/>
      <c r="AH78" s="131"/>
      <c r="AI78" s="218"/>
      <c r="AJ78" s="218"/>
    </row>
    <row r="79" spans="1:75" s="128" customFormat="1" ht="12.75" customHeight="1" x14ac:dyDescent="0.2">
      <c r="A79" s="128" t="s">
        <v>197</v>
      </c>
      <c r="B79" s="119"/>
      <c r="C79" s="131" t="e">
        <f t="shared" ref="C79:Z79" ca="1" si="29">MIN(C78*C$5*C62,MAX(C76-C65,0))</f>
        <v>#NAME?</v>
      </c>
      <c r="D79" s="131" t="e">
        <f t="shared" ca="1" si="29"/>
        <v>#NAME?</v>
      </c>
      <c r="E79" s="131" t="e">
        <f t="shared" ca="1" si="29"/>
        <v>#NAME?</v>
      </c>
      <c r="F79" s="131" t="e">
        <f t="shared" ca="1" si="29"/>
        <v>#NAME?</v>
      </c>
      <c r="G79" s="131" t="e">
        <f t="shared" ca="1" si="29"/>
        <v>#NAME?</v>
      </c>
      <c r="H79" s="131" t="e">
        <f t="shared" ca="1" si="29"/>
        <v>#NAME?</v>
      </c>
      <c r="I79" s="131" t="e">
        <f t="shared" ca="1" si="29"/>
        <v>#NAME?</v>
      </c>
      <c r="J79" s="131" t="e">
        <f t="shared" ca="1" si="29"/>
        <v>#NAME?</v>
      </c>
      <c r="K79" s="131" t="e">
        <f t="shared" ca="1" si="29"/>
        <v>#NAME?</v>
      </c>
      <c r="L79" s="131" t="e">
        <f t="shared" ca="1" si="29"/>
        <v>#NAME?</v>
      </c>
      <c r="M79" s="131" t="e">
        <f t="shared" ca="1" si="29"/>
        <v>#NAME?</v>
      </c>
      <c r="N79" s="131" t="e">
        <f t="shared" ca="1" si="29"/>
        <v>#NAME?</v>
      </c>
      <c r="O79" s="131" t="e">
        <f t="shared" ca="1" si="29"/>
        <v>#NAME?</v>
      </c>
      <c r="P79" s="131" t="e">
        <f t="shared" ca="1" si="29"/>
        <v>#NAME?</v>
      </c>
      <c r="Q79" s="131" t="e">
        <f t="shared" ca="1" si="29"/>
        <v>#NAME?</v>
      </c>
      <c r="R79" s="131" t="e">
        <f t="shared" ca="1" si="29"/>
        <v>#NAME?</v>
      </c>
      <c r="S79" s="131" t="e">
        <f t="shared" ca="1" si="29"/>
        <v>#NAME?</v>
      </c>
      <c r="T79" s="131" t="e">
        <f t="shared" ca="1" si="29"/>
        <v>#NAME?</v>
      </c>
      <c r="U79" s="131" t="e">
        <f t="shared" ca="1" si="29"/>
        <v>#NAME?</v>
      </c>
      <c r="V79" s="131" t="e">
        <f t="shared" ca="1" si="29"/>
        <v>#NAME?</v>
      </c>
      <c r="W79" s="131" t="e">
        <f t="shared" ca="1" si="29"/>
        <v>#NAME?</v>
      </c>
      <c r="X79" s="131" t="e">
        <f t="shared" ca="1" si="29"/>
        <v>#NAME?</v>
      </c>
      <c r="Y79" s="131" t="e">
        <f t="shared" ca="1" si="29"/>
        <v>#NAME?</v>
      </c>
      <c r="Z79" s="131" t="e">
        <f t="shared" ca="1" si="29"/>
        <v>#NAME?</v>
      </c>
      <c r="AA79" s="131"/>
      <c r="AB79" s="131"/>
      <c r="AC79" s="131"/>
      <c r="AD79" s="131"/>
      <c r="AE79" s="131"/>
      <c r="AF79" s="131"/>
      <c r="AG79" s="131"/>
      <c r="AH79" s="131"/>
      <c r="AI79" s="218"/>
      <c r="AJ79" s="218"/>
    </row>
    <row r="80" spans="1:75" s="128" customFormat="1" ht="12.75" customHeight="1" x14ac:dyDescent="0.2">
      <c r="A80" s="128" t="s">
        <v>198</v>
      </c>
      <c r="B80" s="119"/>
      <c r="C80" s="131" t="e">
        <f t="shared" ref="C80:Z80" ca="1" si="30">MIN(5*C$5*C61,MAX(C76-C79,0))</f>
        <v>#NAME?</v>
      </c>
      <c r="D80" s="131" t="e">
        <f t="shared" ca="1" si="30"/>
        <v>#NAME?</v>
      </c>
      <c r="E80" s="131" t="e">
        <f t="shared" ca="1" si="30"/>
        <v>#NAME?</v>
      </c>
      <c r="F80" s="131" t="e">
        <f t="shared" ca="1" si="30"/>
        <v>#NAME?</v>
      </c>
      <c r="G80" s="131" t="e">
        <f t="shared" ca="1" si="30"/>
        <v>#NAME?</v>
      </c>
      <c r="H80" s="131" t="e">
        <f t="shared" ca="1" si="30"/>
        <v>#NAME?</v>
      </c>
      <c r="I80" s="131" t="e">
        <f t="shared" ca="1" si="30"/>
        <v>#NAME?</v>
      </c>
      <c r="J80" s="131" t="e">
        <f t="shared" ca="1" si="30"/>
        <v>#NAME?</v>
      </c>
      <c r="K80" s="131" t="e">
        <f t="shared" ca="1" si="30"/>
        <v>#NAME?</v>
      </c>
      <c r="L80" s="131" t="e">
        <f t="shared" ca="1" si="30"/>
        <v>#NAME?</v>
      </c>
      <c r="M80" s="131" t="e">
        <f t="shared" ca="1" si="30"/>
        <v>#NAME?</v>
      </c>
      <c r="N80" s="131" t="e">
        <f t="shared" ca="1" si="30"/>
        <v>#NAME?</v>
      </c>
      <c r="O80" s="131" t="e">
        <f t="shared" ca="1" si="30"/>
        <v>#NAME?</v>
      </c>
      <c r="P80" s="131" t="e">
        <f t="shared" ca="1" si="30"/>
        <v>#NAME?</v>
      </c>
      <c r="Q80" s="131" t="e">
        <f t="shared" ca="1" si="30"/>
        <v>#NAME?</v>
      </c>
      <c r="R80" s="131" t="e">
        <f t="shared" ca="1" si="30"/>
        <v>#NAME?</v>
      </c>
      <c r="S80" s="131" t="e">
        <f t="shared" ca="1" si="30"/>
        <v>#NAME?</v>
      </c>
      <c r="T80" s="131" t="e">
        <f t="shared" ca="1" si="30"/>
        <v>#NAME?</v>
      </c>
      <c r="U80" s="131" t="e">
        <f t="shared" ca="1" si="30"/>
        <v>#NAME?</v>
      </c>
      <c r="V80" s="131" t="e">
        <f t="shared" ca="1" si="30"/>
        <v>#NAME?</v>
      </c>
      <c r="W80" s="131" t="e">
        <f t="shared" ca="1" si="30"/>
        <v>#NAME?</v>
      </c>
      <c r="X80" s="131" t="e">
        <f t="shared" ca="1" si="30"/>
        <v>#NAME?</v>
      </c>
      <c r="Y80" s="131" t="e">
        <f t="shared" ca="1" si="30"/>
        <v>#NAME?</v>
      </c>
      <c r="Z80" s="131" t="e">
        <f t="shared" ca="1" si="30"/>
        <v>#NAME?</v>
      </c>
      <c r="AA80" s="131"/>
      <c r="AB80" s="131"/>
      <c r="AC80" s="131"/>
      <c r="AD80" s="131"/>
      <c r="AE80" s="131"/>
      <c r="AF80" s="131"/>
      <c r="AG80" s="131"/>
      <c r="AH80" s="131"/>
      <c r="AI80" s="218"/>
      <c r="AJ80" s="218"/>
    </row>
    <row r="81" spans="1:75" s="128" customFormat="1" ht="12.75" customHeight="1" x14ac:dyDescent="0.2">
      <c r="A81" s="128" t="s">
        <v>199</v>
      </c>
      <c r="B81" s="119"/>
      <c r="C81" s="131" t="e">
        <f t="shared" ref="C81:Z81" ca="1" si="31">MIN(C88,C76-C79-C80)</f>
        <v>#NAME?</v>
      </c>
      <c r="D81" s="131" t="e">
        <f t="shared" ca="1" si="31"/>
        <v>#NAME?</v>
      </c>
      <c r="E81" s="131" t="e">
        <f t="shared" ca="1" si="31"/>
        <v>#NAME?</v>
      </c>
      <c r="F81" s="131" t="e">
        <f t="shared" ca="1" si="31"/>
        <v>#NAME?</v>
      </c>
      <c r="G81" s="131" t="e">
        <f t="shared" ca="1" si="31"/>
        <v>#NAME?</v>
      </c>
      <c r="H81" s="131" t="e">
        <f t="shared" ca="1" si="31"/>
        <v>#NAME?</v>
      </c>
      <c r="I81" s="131" t="e">
        <f t="shared" ca="1" si="31"/>
        <v>#NAME?</v>
      </c>
      <c r="J81" s="131" t="e">
        <f t="shared" ca="1" si="31"/>
        <v>#NAME?</v>
      </c>
      <c r="K81" s="131" t="e">
        <f t="shared" ca="1" si="31"/>
        <v>#NAME?</v>
      </c>
      <c r="L81" s="131" t="e">
        <f t="shared" ca="1" si="31"/>
        <v>#NAME?</v>
      </c>
      <c r="M81" s="131" t="e">
        <f t="shared" ca="1" si="31"/>
        <v>#NAME?</v>
      </c>
      <c r="N81" s="131" t="e">
        <f t="shared" ca="1" si="31"/>
        <v>#NAME?</v>
      </c>
      <c r="O81" s="131" t="e">
        <f t="shared" ca="1" si="31"/>
        <v>#NAME?</v>
      </c>
      <c r="P81" s="131" t="e">
        <f t="shared" ca="1" si="31"/>
        <v>#NAME?</v>
      </c>
      <c r="Q81" s="131" t="e">
        <f t="shared" ca="1" si="31"/>
        <v>#NAME?</v>
      </c>
      <c r="R81" s="131" t="e">
        <f t="shared" ca="1" si="31"/>
        <v>#NAME?</v>
      </c>
      <c r="S81" s="131" t="e">
        <f t="shared" ca="1" si="31"/>
        <v>#NAME?</v>
      </c>
      <c r="T81" s="131" t="e">
        <f t="shared" ca="1" si="31"/>
        <v>#NAME?</v>
      </c>
      <c r="U81" s="131" t="e">
        <f t="shared" ca="1" si="31"/>
        <v>#NAME?</v>
      </c>
      <c r="V81" s="131" t="e">
        <f t="shared" ca="1" si="31"/>
        <v>#NAME?</v>
      </c>
      <c r="W81" s="131" t="e">
        <f t="shared" ca="1" si="31"/>
        <v>#NAME?</v>
      </c>
      <c r="X81" s="131" t="e">
        <f t="shared" ca="1" si="31"/>
        <v>#NAME?</v>
      </c>
      <c r="Y81" s="131" t="e">
        <f t="shared" ca="1" si="31"/>
        <v>#NAME?</v>
      </c>
      <c r="Z81" s="131" t="e">
        <f t="shared" ca="1" si="31"/>
        <v>#NAME?</v>
      </c>
      <c r="AA81" s="131"/>
      <c r="AB81" s="131"/>
      <c r="AC81" s="131"/>
      <c r="AD81" s="131"/>
      <c r="AE81" s="131"/>
      <c r="AF81" s="131"/>
      <c r="AG81" s="131"/>
      <c r="AH81" s="131"/>
      <c r="AI81" s="218"/>
      <c r="AJ81" s="218"/>
    </row>
    <row r="82" spans="1:75" s="128" customFormat="1" ht="12.75" customHeight="1" x14ac:dyDescent="0.2">
      <c r="A82" s="128" t="s">
        <v>200</v>
      </c>
      <c r="B82" s="119"/>
      <c r="C82" s="131">
        <v>42.745203289985142</v>
      </c>
      <c r="D82" s="131">
        <v>36.992478368945498</v>
      </c>
      <c r="E82" s="131">
        <v>48.213740353530781</v>
      </c>
      <c r="F82" s="131">
        <v>41.672199181991736</v>
      </c>
      <c r="G82" s="131">
        <v>36.374839268394489</v>
      </c>
      <c r="H82" s="131">
        <v>27.062168297946137</v>
      </c>
      <c r="I82" s="131">
        <v>18.716190509974449</v>
      </c>
      <c r="J82" s="131">
        <v>5.1865660176803434</v>
      </c>
      <c r="K82" s="131">
        <v>0</v>
      </c>
      <c r="L82" s="131">
        <v>0</v>
      </c>
      <c r="M82" s="131">
        <v>0</v>
      </c>
      <c r="N82" s="131">
        <v>0</v>
      </c>
      <c r="O82" s="131">
        <v>0</v>
      </c>
      <c r="P82" s="131">
        <v>0</v>
      </c>
      <c r="Q82" s="131">
        <v>0</v>
      </c>
      <c r="R82" s="131">
        <v>0</v>
      </c>
      <c r="S82" s="131">
        <v>0</v>
      </c>
      <c r="T82" s="131">
        <v>0</v>
      </c>
      <c r="U82" s="131">
        <v>0</v>
      </c>
      <c r="V82" s="131">
        <v>0</v>
      </c>
      <c r="W82" s="131">
        <v>0</v>
      </c>
      <c r="X82" s="131">
        <v>0</v>
      </c>
      <c r="Y82" s="131">
        <v>0</v>
      </c>
      <c r="Z82" s="131">
        <v>0</v>
      </c>
      <c r="AA82" s="131"/>
      <c r="AB82" s="131"/>
      <c r="AC82" s="131"/>
      <c r="AD82" s="131"/>
      <c r="AE82" s="131"/>
      <c r="AF82" s="131"/>
      <c r="AG82" s="131"/>
      <c r="AH82" s="131"/>
      <c r="AI82" s="218"/>
      <c r="AJ82" s="218"/>
    </row>
    <row r="83" spans="1:75" s="128" customFormat="1" ht="12.75" customHeight="1" x14ac:dyDescent="0.2">
      <c r="A83" s="128" t="s">
        <v>201</v>
      </c>
      <c r="B83" s="119"/>
      <c r="C83" s="131">
        <v>6.6265569372801236</v>
      </c>
      <c r="D83" s="131">
        <v>11.263446219740741</v>
      </c>
      <c r="E83" s="131">
        <v>14.516538072520365</v>
      </c>
      <c r="F83" s="131">
        <v>17.495203547230798</v>
      </c>
      <c r="G83" s="131">
        <v>17.324311554602911</v>
      </c>
      <c r="H83" s="131">
        <v>15.596683758401898</v>
      </c>
      <c r="I83" s="131">
        <v>13.936678975471159</v>
      </c>
      <c r="J83" s="131">
        <v>12.65890766351624</v>
      </c>
      <c r="K83" s="131">
        <v>11.437107792890965</v>
      </c>
      <c r="L83" s="131">
        <v>10.228104367583665</v>
      </c>
      <c r="M83" s="131">
        <v>9.1687203783599838</v>
      </c>
      <c r="N83" s="131">
        <v>8.2578856050951792</v>
      </c>
      <c r="O83" s="131">
        <v>7.3918945615244578</v>
      </c>
      <c r="P83" s="131">
        <v>6.6316366132731686</v>
      </c>
      <c r="Q83" s="131">
        <v>5.963018177025833</v>
      </c>
      <c r="R83" s="131">
        <v>5.3892927895082261</v>
      </c>
      <c r="S83" s="131">
        <v>4.8372205929715753</v>
      </c>
      <c r="T83" s="131">
        <v>4.3488913289635791</v>
      </c>
      <c r="U83" s="131">
        <v>3.9202246442136293</v>
      </c>
      <c r="V83" s="131">
        <v>3.5505723909231244</v>
      </c>
      <c r="W83" s="131">
        <v>3.1907826263224077</v>
      </c>
      <c r="X83" s="131">
        <v>2.8687460221912389</v>
      </c>
      <c r="Y83" s="131">
        <v>2.584496157376134</v>
      </c>
      <c r="Z83" s="131">
        <v>1.7836413376348355</v>
      </c>
      <c r="AA83" s="131"/>
      <c r="AB83" s="131"/>
      <c r="AC83" s="131"/>
      <c r="AD83" s="131"/>
      <c r="AE83" s="131"/>
      <c r="AF83" s="131"/>
      <c r="AG83" s="131"/>
      <c r="AH83" s="131"/>
      <c r="AI83" s="218"/>
      <c r="AJ83" s="218"/>
    </row>
    <row r="84" spans="1:75" s="128" customFormat="1" ht="12.75" customHeight="1" x14ac:dyDescent="0.2">
      <c r="A84" s="128" t="s">
        <v>202</v>
      </c>
      <c r="B84" s="119"/>
      <c r="C84" s="131" t="e">
        <f t="shared" ref="C84:Z84" ca="1" si="32">MAX(0,C76-C79-C80-C81-C82)+C83</f>
        <v>#NAME?</v>
      </c>
      <c r="D84" s="131" t="e">
        <f t="shared" ca="1" si="32"/>
        <v>#NAME?</v>
      </c>
      <c r="E84" s="131" t="e">
        <f t="shared" ca="1" si="32"/>
        <v>#NAME?</v>
      </c>
      <c r="F84" s="131" t="e">
        <f t="shared" ca="1" si="32"/>
        <v>#NAME?</v>
      </c>
      <c r="G84" s="131" t="e">
        <f t="shared" ca="1" si="32"/>
        <v>#NAME?</v>
      </c>
      <c r="H84" s="131" t="e">
        <f t="shared" ca="1" si="32"/>
        <v>#NAME?</v>
      </c>
      <c r="I84" s="131" t="e">
        <f t="shared" ca="1" si="32"/>
        <v>#NAME?</v>
      </c>
      <c r="J84" s="131" t="e">
        <f t="shared" ca="1" si="32"/>
        <v>#NAME?</v>
      </c>
      <c r="K84" s="131" t="e">
        <f t="shared" ca="1" si="32"/>
        <v>#NAME?</v>
      </c>
      <c r="L84" s="131" t="e">
        <f t="shared" ca="1" si="32"/>
        <v>#NAME?</v>
      </c>
      <c r="M84" s="131" t="e">
        <f t="shared" ca="1" si="32"/>
        <v>#NAME?</v>
      </c>
      <c r="N84" s="131" t="e">
        <f t="shared" ca="1" si="32"/>
        <v>#NAME?</v>
      </c>
      <c r="O84" s="131" t="e">
        <f t="shared" ca="1" si="32"/>
        <v>#NAME?</v>
      </c>
      <c r="P84" s="131" t="e">
        <f t="shared" ca="1" si="32"/>
        <v>#NAME?</v>
      </c>
      <c r="Q84" s="131" t="e">
        <f t="shared" ca="1" si="32"/>
        <v>#NAME?</v>
      </c>
      <c r="R84" s="131" t="e">
        <f t="shared" ca="1" si="32"/>
        <v>#NAME?</v>
      </c>
      <c r="S84" s="131" t="e">
        <f t="shared" ca="1" si="32"/>
        <v>#NAME?</v>
      </c>
      <c r="T84" s="131" t="e">
        <f t="shared" ca="1" si="32"/>
        <v>#NAME?</v>
      </c>
      <c r="U84" s="131" t="e">
        <f t="shared" ca="1" si="32"/>
        <v>#NAME?</v>
      </c>
      <c r="V84" s="131" t="e">
        <f t="shared" ca="1" si="32"/>
        <v>#NAME?</v>
      </c>
      <c r="W84" s="131" t="e">
        <f t="shared" ca="1" si="32"/>
        <v>#NAME?</v>
      </c>
      <c r="X84" s="131" t="e">
        <f t="shared" ca="1" si="32"/>
        <v>#NAME?</v>
      </c>
      <c r="Y84" s="131" t="e">
        <f t="shared" ca="1" si="32"/>
        <v>#NAME?</v>
      </c>
      <c r="Z84" s="131" t="e">
        <f t="shared" ca="1" si="32"/>
        <v>#NAME?</v>
      </c>
      <c r="AA84" s="131"/>
      <c r="AB84" s="131"/>
      <c r="AC84" s="131"/>
      <c r="AD84" s="131"/>
      <c r="AE84" s="131"/>
      <c r="AF84" s="131"/>
      <c r="AG84" s="131"/>
      <c r="AH84" s="131"/>
      <c r="AI84" s="131"/>
      <c r="AJ84" s="135"/>
    </row>
    <row r="85" spans="1:75" s="128" customFormat="1" ht="12.75" customHeight="1" x14ac:dyDescent="0.2">
      <c r="A85" s="119" t="s">
        <v>203</v>
      </c>
      <c r="B85" s="119"/>
      <c r="C85" s="219">
        <f t="shared" ref="C85:Z85" si="33">0.05*(C$29)*C$5*(1-C$44)</f>
        <v>8.0777119441395246</v>
      </c>
      <c r="D85" s="219">
        <f t="shared" si="33"/>
        <v>7.9762248365187318</v>
      </c>
      <c r="E85" s="219">
        <f t="shared" si="33"/>
        <v>7.825249639855075</v>
      </c>
      <c r="F85" s="219">
        <f t="shared" si="33"/>
        <v>7.4224396188600448</v>
      </c>
      <c r="G85" s="219">
        <f t="shared" si="33"/>
        <v>6.813663493646871</v>
      </c>
      <c r="H85" s="219">
        <f t="shared" si="33"/>
        <v>6.2865240353666243</v>
      </c>
      <c r="I85" s="219">
        <f t="shared" si="33"/>
        <v>5.7830773342615647</v>
      </c>
      <c r="J85" s="219">
        <f t="shared" si="33"/>
        <v>5.3059077795640643</v>
      </c>
      <c r="K85" s="219">
        <f t="shared" si="33"/>
        <v>4.8557690225313799</v>
      </c>
      <c r="L85" s="219">
        <f t="shared" si="33"/>
        <v>4.469310144018011</v>
      </c>
      <c r="M85" s="219">
        <f t="shared" si="33"/>
        <v>4.131165369634652</v>
      </c>
      <c r="N85" s="219">
        <f t="shared" si="33"/>
        <v>3.842278812214464</v>
      </c>
      <c r="O85" s="219">
        <f t="shared" si="33"/>
        <v>3.5604880397204601</v>
      </c>
      <c r="P85" s="219">
        <f t="shared" si="33"/>
        <v>3.3125157011551729</v>
      </c>
      <c r="Q85" s="219">
        <f t="shared" si="33"/>
        <v>3.093260003731269</v>
      </c>
      <c r="R85" s="219">
        <f t="shared" si="33"/>
        <v>2.9067421491077048</v>
      </c>
      <c r="S85" s="219">
        <f t="shared" si="33"/>
        <v>2.7182059575451549</v>
      </c>
      <c r="T85" s="219">
        <f t="shared" si="33"/>
        <v>2.5494549352601545</v>
      </c>
      <c r="U85" s="219">
        <f t="shared" si="33"/>
        <v>2.3990500804041126</v>
      </c>
      <c r="V85" s="219">
        <f t="shared" si="33"/>
        <v>2.2709615433739123</v>
      </c>
      <c r="W85" s="219">
        <f t="shared" si="33"/>
        <v>2.1378271186650104</v>
      </c>
      <c r="X85" s="219">
        <f t="shared" si="33"/>
        <v>2.0172218842780132</v>
      </c>
      <c r="Y85" s="219">
        <f t="shared" si="33"/>
        <v>1.909335018580286</v>
      </c>
      <c r="Z85" s="219">
        <f t="shared" si="33"/>
        <v>1.8176778914741381</v>
      </c>
      <c r="AA85" s="120"/>
      <c r="AB85" s="120"/>
      <c r="AC85" s="120"/>
      <c r="AD85" s="120"/>
      <c r="AE85" s="120"/>
      <c r="AF85" s="120"/>
      <c r="AG85" s="120"/>
      <c r="AH85" s="120"/>
      <c r="AI85" s="120"/>
      <c r="AJ85" s="120"/>
      <c r="BV85" s="132"/>
      <c r="BW85" s="133"/>
    </row>
    <row r="86" spans="1:75" s="141" customFormat="1" ht="12.75" customHeight="1" x14ac:dyDescent="0.2">
      <c r="A86" s="215" t="s">
        <v>204</v>
      </c>
      <c r="B86" s="119"/>
      <c r="C86" s="142" t="e">
        <f ca="1">C84+C85</f>
        <v>#NAME?</v>
      </c>
      <c r="D86" s="142" t="e">
        <f t="shared" ref="D86:Z86" ca="1" si="34">D84+D85</f>
        <v>#NAME?</v>
      </c>
      <c r="E86" s="142" t="e">
        <f t="shared" ca="1" si="34"/>
        <v>#NAME?</v>
      </c>
      <c r="F86" s="142" t="e">
        <f t="shared" ca="1" si="34"/>
        <v>#NAME?</v>
      </c>
      <c r="G86" s="142" t="e">
        <f t="shared" ca="1" si="34"/>
        <v>#NAME?</v>
      </c>
      <c r="H86" s="142" t="e">
        <f t="shared" ca="1" si="34"/>
        <v>#NAME?</v>
      </c>
      <c r="I86" s="142" t="e">
        <f t="shared" ca="1" si="34"/>
        <v>#NAME?</v>
      </c>
      <c r="J86" s="142" t="e">
        <f t="shared" ca="1" si="34"/>
        <v>#NAME?</v>
      </c>
      <c r="K86" s="142" t="e">
        <f t="shared" ca="1" si="34"/>
        <v>#NAME?</v>
      </c>
      <c r="L86" s="142" t="e">
        <f t="shared" ca="1" si="34"/>
        <v>#NAME?</v>
      </c>
      <c r="M86" s="142" t="e">
        <f t="shared" ca="1" si="34"/>
        <v>#NAME?</v>
      </c>
      <c r="N86" s="142" t="e">
        <f t="shared" ca="1" si="34"/>
        <v>#NAME?</v>
      </c>
      <c r="O86" s="142" t="e">
        <f t="shared" ca="1" si="34"/>
        <v>#NAME?</v>
      </c>
      <c r="P86" s="142" t="e">
        <f t="shared" ca="1" si="34"/>
        <v>#NAME?</v>
      </c>
      <c r="Q86" s="142" t="e">
        <f t="shared" ca="1" si="34"/>
        <v>#NAME?</v>
      </c>
      <c r="R86" s="142" t="e">
        <f t="shared" ca="1" si="34"/>
        <v>#NAME?</v>
      </c>
      <c r="S86" s="142" t="e">
        <f t="shared" ca="1" si="34"/>
        <v>#NAME?</v>
      </c>
      <c r="T86" s="142" t="e">
        <f t="shared" ca="1" si="34"/>
        <v>#NAME?</v>
      </c>
      <c r="U86" s="142" t="e">
        <f t="shared" ca="1" si="34"/>
        <v>#NAME?</v>
      </c>
      <c r="V86" s="142" t="e">
        <f t="shared" ca="1" si="34"/>
        <v>#NAME?</v>
      </c>
      <c r="W86" s="142" t="e">
        <f t="shared" ca="1" si="34"/>
        <v>#NAME?</v>
      </c>
      <c r="X86" s="142" t="e">
        <f t="shared" ca="1" si="34"/>
        <v>#NAME?</v>
      </c>
      <c r="Y86" s="142" t="e">
        <f t="shared" ca="1" si="34"/>
        <v>#NAME?</v>
      </c>
      <c r="Z86" s="142" t="e">
        <f t="shared" ca="1" si="34"/>
        <v>#NAME?</v>
      </c>
      <c r="AA86" s="142"/>
      <c r="AB86" s="142"/>
      <c r="AC86" s="142"/>
      <c r="AD86" s="142"/>
      <c r="AE86" s="142"/>
      <c r="AF86" s="142"/>
      <c r="AG86" s="142"/>
      <c r="AH86" s="142"/>
      <c r="AI86" s="142"/>
      <c r="AJ86" s="143"/>
    </row>
    <row r="87" spans="1:75" s="141" customFormat="1" ht="12.75" customHeight="1" x14ac:dyDescent="0.2">
      <c r="A87" s="215"/>
      <c r="C87" s="142"/>
      <c r="D87" s="142"/>
      <c r="E87" s="142"/>
      <c r="F87" s="142"/>
      <c r="G87" s="142"/>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43"/>
    </row>
    <row r="88" spans="1:75" s="128" customFormat="1" ht="12.75" customHeight="1" x14ac:dyDescent="0.2">
      <c r="A88" s="119" t="s">
        <v>205</v>
      </c>
      <c r="C88" s="131">
        <f>0</f>
        <v>0</v>
      </c>
      <c r="D88" s="131" t="e">
        <f ca="1">C91</f>
        <v>#NAME?</v>
      </c>
      <c r="E88" s="131" t="e">
        <f t="shared" ref="E88:Z88" ca="1" si="35">D91</f>
        <v>#NAME?</v>
      </c>
      <c r="F88" s="131" t="e">
        <f t="shared" ca="1" si="35"/>
        <v>#NAME?</v>
      </c>
      <c r="G88" s="131" t="e">
        <f t="shared" ca="1" si="35"/>
        <v>#NAME?</v>
      </c>
      <c r="H88" s="131" t="e">
        <f t="shared" ca="1" si="35"/>
        <v>#NAME?</v>
      </c>
      <c r="I88" s="131" t="e">
        <f t="shared" ca="1" si="35"/>
        <v>#NAME?</v>
      </c>
      <c r="J88" s="131" t="e">
        <f t="shared" ca="1" si="35"/>
        <v>#NAME?</v>
      </c>
      <c r="K88" s="131" t="e">
        <f t="shared" ca="1" si="35"/>
        <v>#NAME?</v>
      </c>
      <c r="L88" s="131" t="e">
        <f t="shared" ca="1" si="35"/>
        <v>#NAME?</v>
      </c>
      <c r="M88" s="131" t="e">
        <f t="shared" ca="1" si="35"/>
        <v>#NAME?</v>
      </c>
      <c r="N88" s="131" t="e">
        <f t="shared" ca="1" si="35"/>
        <v>#NAME?</v>
      </c>
      <c r="O88" s="131" t="e">
        <f t="shared" ca="1" si="35"/>
        <v>#NAME?</v>
      </c>
      <c r="P88" s="131" t="e">
        <f t="shared" ca="1" si="35"/>
        <v>#NAME?</v>
      </c>
      <c r="Q88" s="131" t="e">
        <f t="shared" ca="1" si="35"/>
        <v>#NAME?</v>
      </c>
      <c r="R88" s="131" t="e">
        <f t="shared" ca="1" si="35"/>
        <v>#NAME?</v>
      </c>
      <c r="S88" s="131" t="e">
        <f t="shared" ca="1" si="35"/>
        <v>#NAME?</v>
      </c>
      <c r="T88" s="131" t="e">
        <f t="shared" ca="1" si="35"/>
        <v>#NAME?</v>
      </c>
      <c r="U88" s="131" t="e">
        <f t="shared" ca="1" si="35"/>
        <v>#NAME?</v>
      </c>
      <c r="V88" s="131" t="e">
        <f t="shared" ca="1" si="35"/>
        <v>#NAME?</v>
      </c>
      <c r="W88" s="131" t="e">
        <f t="shared" ca="1" si="35"/>
        <v>#NAME?</v>
      </c>
      <c r="X88" s="131" t="e">
        <f t="shared" ca="1" si="35"/>
        <v>#NAME?</v>
      </c>
      <c r="Y88" s="131" t="e">
        <f t="shared" ca="1" si="35"/>
        <v>#NAME?</v>
      </c>
      <c r="Z88" s="131" t="e">
        <f t="shared" ca="1" si="35"/>
        <v>#NAME?</v>
      </c>
      <c r="AA88" s="131"/>
      <c r="AB88" s="131"/>
      <c r="AC88" s="131"/>
      <c r="AD88" s="131"/>
      <c r="AE88" s="131"/>
      <c r="AF88" s="131"/>
      <c r="AG88" s="131"/>
      <c r="AH88" s="131"/>
      <c r="AI88" s="131"/>
      <c r="AJ88" s="135"/>
    </row>
    <row r="89" spans="1:75" s="128" customFormat="1" ht="12.75" customHeight="1" x14ac:dyDescent="0.2">
      <c r="A89" s="119" t="s">
        <v>206</v>
      </c>
      <c r="C89" s="131" t="e">
        <f ca="1">MAX(0,-0.4*C72)</f>
        <v>#NAME?</v>
      </c>
      <c r="D89" s="131" t="e">
        <f t="shared" ref="D89:Z89" ca="1" si="36">MAX(0,-0.35*D72)</f>
        <v>#NAME?</v>
      </c>
      <c r="E89" s="131" t="e">
        <f t="shared" ca="1" si="36"/>
        <v>#NAME?</v>
      </c>
      <c r="F89" s="131" t="e">
        <f t="shared" ca="1" si="36"/>
        <v>#NAME?</v>
      </c>
      <c r="G89" s="131" t="e">
        <f t="shared" ca="1" si="36"/>
        <v>#NAME?</v>
      </c>
      <c r="H89" s="131" t="e">
        <f t="shared" ca="1" si="36"/>
        <v>#NAME?</v>
      </c>
      <c r="I89" s="131" t="e">
        <f t="shared" ca="1" si="36"/>
        <v>#NAME?</v>
      </c>
      <c r="J89" s="131" t="e">
        <f t="shared" ca="1" si="36"/>
        <v>#NAME?</v>
      </c>
      <c r="K89" s="131" t="e">
        <f t="shared" ca="1" si="36"/>
        <v>#NAME?</v>
      </c>
      <c r="L89" s="131" t="e">
        <f t="shared" ca="1" si="36"/>
        <v>#NAME?</v>
      </c>
      <c r="M89" s="131" t="e">
        <f t="shared" ca="1" si="36"/>
        <v>#NAME?</v>
      </c>
      <c r="N89" s="131" t="e">
        <f t="shared" ca="1" si="36"/>
        <v>#NAME?</v>
      </c>
      <c r="O89" s="131" t="e">
        <f t="shared" ca="1" si="36"/>
        <v>#NAME?</v>
      </c>
      <c r="P89" s="131" t="e">
        <f t="shared" ca="1" si="36"/>
        <v>#NAME?</v>
      </c>
      <c r="Q89" s="131" t="e">
        <f t="shared" ca="1" si="36"/>
        <v>#NAME?</v>
      </c>
      <c r="R89" s="131" t="e">
        <f t="shared" ca="1" si="36"/>
        <v>#NAME?</v>
      </c>
      <c r="S89" s="131" t="e">
        <f t="shared" ca="1" si="36"/>
        <v>#NAME?</v>
      </c>
      <c r="T89" s="131" t="e">
        <f t="shared" ca="1" si="36"/>
        <v>#NAME?</v>
      </c>
      <c r="U89" s="131" t="e">
        <f t="shared" ca="1" si="36"/>
        <v>#NAME?</v>
      </c>
      <c r="V89" s="131" t="e">
        <f t="shared" ca="1" si="36"/>
        <v>#NAME?</v>
      </c>
      <c r="W89" s="131" t="e">
        <f t="shared" ca="1" si="36"/>
        <v>#NAME?</v>
      </c>
      <c r="X89" s="131" t="e">
        <f t="shared" ca="1" si="36"/>
        <v>#NAME?</v>
      </c>
      <c r="Y89" s="131" t="e">
        <f t="shared" ca="1" si="36"/>
        <v>#NAME?</v>
      </c>
      <c r="Z89" s="131" t="e">
        <f t="shared" ca="1" si="36"/>
        <v>#NAME?</v>
      </c>
      <c r="AA89" s="131"/>
      <c r="AB89" s="131"/>
      <c r="AC89" s="131"/>
      <c r="AD89" s="131"/>
      <c r="AE89" s="131"/>
      <c r="AF89" s="131"/>
      <c r="AG89" s="131"/>
      <c r="AH89" s="131"/>
      <c r="AI89" s="131"/>
      <c r="AJ89" s="135"/>
    </row>
    <row r="90" spans="1:75" s="128" customFormat="1" ht="12.75" customHeight="1" x14ac:dyDescent="0.2">
      <c r="A90" s="119" t="s">
        <v>207</v>
      </c>
      <c r="C90" s="131" t="e">
        <f ca="1">C81</f>
        <v>#NAME?</v>
      </c>
      <c r="D90" s="131" t="e">
        <f ca="1">D81</f>
        <v>#NAME?</v>
      </c>
      <c r="E90" s="131" t="e">
        <f t="shared" ref="E90:Z90" ca="1" si="37">E81</f>
        <v>#NAME?</v>
      </c>
      <c r="F90" s="131" t="e">
        <f t="shared" ca="1" si="37"/>
        <v>#NAME?</v>
      </c>
      <c r="G90" s="131" t="e">
        <f t="shared" ca="1" si="37"/>
        <v>#NAME?</v>
      </c>
      <c r="H90" s="131" t="e">
        <f t="shared" ca="1" si="37"/>
        <v>#NAME?</v>
      </c>
      <c r="I90" s="131" t="e">
        <f t="shared" ca="1" si="37"/>
        <v>#NAME?</v>
      </c>
      <c r="J90" s="131" t="e">
        <f t="shared" ca="1" si="37"/>
        <v>#NAME?</v>
      </c>
      <c r="K90" s="131" t="e">
        <f t="shared" ca="1" si="37"/>
        <v>#NAME?</v>
      </c>
      <c r="L90" s="131" t="e">
        <f t="shared" ca="1" si="37"/>
        <v>#NAME?</v>
      </c>
      <c r="M90" s="131" t="e">
        <f t="shared" ca="1" si="37"/>
        <v>#NAME?</v>
      </c>
      <c r="N90" s="131" t="e">
        <f t="shared" ca="1" si="37"/>
        <v>#NAME?</v>
      </c>
      <c r="O90" s="131" t="e">
        <f t="shared" ca="1" si="37"/>
        <v>#NAME?</v>
      </c>
      <c r="P90" s="131" t="e">
        <f t="shared" ca="1" si="37"/>
        <v>#NAME?</v>
      </c>
      <c r="Q90" s="131" t="e">
        <f t="shared" ca="1" si="37"/>
        <v>#NAME?</v>
      </c>
      <c r="R90" s="131" t="e">
        <f t="shared" ca="1" si="37"/>
        <v>#NAME?</v>
      </c>
      <c r="S90" s="131" t="e">
        <f t="shared" ca="1" si="37"/>
        <v>#NAME?</v>
      </c>
      <c r="T90" s="131" t="e">
        <f t="shared" ca="1" si="37"/>
        <v>#NAME?</v>
      </c>
      <c r="U90" s="131" t="e">
        <f t="shared" ca="1" si="37"/>
        <v>#NAME?</v>
      </c>
      <c r="V90" s="131" t="e">
        <f t="shared" ca="1" si="37"/>
        <v>#NAME?</v>
      </c>
      <c r="W90" s="131" t="e">
        <f t="shared" ca="1" si="37"/>
        <v>#NAME?</v>
      </c>
      <c r="X90" s="131" t="e">
        <f t="shared" ca="1" si="37"/>
        <v>#NAME?</v>
      </c>
      <c r="Y90" s="131" t="e">
        <f t="shared" ca="1" si="37"/>
        <v>#NAME?</v>
      </c>
      <c r="Z90" s="131" t="e">
        <f t="shared" ca="1" si="37"/>
        <v>#NAME?</v>
      </c>
      <c r="AA90" s="131"/>
      <c r="AB90" s="131"/>
      <c r="AC90" s="131"/>
      <c r="AD90" s="131"/>
      <c r="AE90" s="131"/>
      <c r="AF90" s="131"/>
      <c r="AG90" s="131"/>
      <c r="AH90" s="131"/>
      <c r="AI90" s="131"/>
      <c r="AJ90" s="135"/>
    </row>
    <row r="91" spans="1:75" s="128" customFormat="1" ht="12.75" customHeight="1" x14ac:dyDescent="0.2">
      <c r="A91" s="119" t="s">
        <v>208</v>
      </c>
      <c r="C91" s="131" t="e">
        <f ca="1">C88+C89-C90</f>
        <v>#NAME?</v>
      </c>
      <c r="D91" s="131" t="e">
        <f ca="1">D88+D89-D90</f>
        <v>#NAME?</v>
      </c>
      <c r="E91" s="131" t="e">
        <f t="shared" ref="E91:Z91" ca="1" si="38">E88+E89-E90</f>
        <v>#NAME?</v>
      </c>
      <c r="F91" s="131" t="e">
        <f t="shared" ca="1" si="38"/>
        <v>#NAME?</v>
      </c>
      <c r="G91" s="131" t="e">
        <f t="shared" ca="1" si="38"/>
        <v>#NAME?</v>
      </c>
      <c r="H91" s="131" t="e">
        <f t="shared" ca="1" si="38"/>
        <v>#NAME?</v>
      </c>
      <c r="I91" s="131" t="e">
        <f t="shared" ca="1" si="38"/>
        <v>#NAME?</v>
      </c>
      <c r="J91" s="131" t="e">
        <f t="shared" ca="1" si="38"/>
        <v>#NAME?</v>
      </c>
      <c r="K91" s="131" t="e">
        <f t="shared" ca="1" si="38"/>
        <v>#NAME?</v>
      </c>
      <c r="L91" s="131" t="e">
        <f t="shared" ca="1" si="38"/>
        <v>#NAME?</v>
      </c>
      <c r="M91" s="131" t="e">
        <f t="shared" ca="1" si="38"/>
        <v>#NAME?</v>
      </c>
      <c r="N91" s="131" t="e">
        <f t="shared" ca="1" si="38"/>
        <v>#NAME?</v>
      </c>
      <c r="O91" s="131" t="e">
        <f t="shared" ca="1" si="38"/>
        <v>#NAME?</v>
      </c>
      <c r="P91" s="131" t="e">
        <f t="shared" ca="1" si="38"/>
        <v>#NAME?</v>
      </c>
      <c r="Q91" s="131" t="e">
        <f t="shared" ca="1" si="38"/>
        <v>#NAME?</v>
      </c>
      <c r="R91" s="131" t="e">
        <f t="shared" ca="1" si="38"/>
        <v>#NAME?</v>
      </c>
      <c r="S91" s="131" t="e">
        <f t="shared" ca="1" si="38"/>
        <v>#NAME?</v>
      </c>
      <c r="T91" s="131" t="e">
        <f t="shared" ca="1" si="38"/>
        <v>#NAME?</v>
      </c>
      <c r="U91" s="131" t="e">
        <f t="shared" ca="1" si="38"/>
        <v>#NAME?</v>
      </c>
      <c r="V91" s="131" t="e">
        <f t="shared" ca="1" si="38"/>
        <v>#NAME?</v>
      </c>
      <c r="W91" s="131" t="e">
        <f t="shared" ca="1" si="38"/>
        <v>#NAME?</v>
      </c>
      <c r="X91" s="131" t="e">
        <f t="shared" ca="1" si="38"/>
        <v>#NAME?</v>
      </c>
      <c r="Y91" s="131" t="e">
        <f t="shared" ca="1" si="38"/>
        <v>#NAME?</v>
      </c>
      <c r="Z91" s="131" t="e">
        <f t="shared" ca="1" si="38"/>
        <v>#NAME?</v>
      </c>
      <c r="AA91" s="131"/>
      <c r="AB91" s="131"/>
      <c r="AC91" s="131"/>
      <c r="AD91" s="131"/>
      <c r="AE91" s="131"/>
      <c r="AF91" s="131"/>
      <c r="AG91" s="131"/>
      <c r="AH91" s="131"/>
      <c r="AI91" s="131"/>
      <c r="AJ91" s="135"/>
    </row>
    <row r="92" spans="1:75" ht="12.75" customHeight="1" x14ac:dyDescent="0.2">
      <c r="B92" s="110"/>
      <c r="C92" s="220"/>
      <c r="D92" s="220"/>
      <c r="E92" s="220"/>
      <c r="F92" s="220"/>
      <c r="G92" s="220"/>
      <c r="H92" s="221"/>
      <c r="I92" s="221"/>
      <c r="J92" s="221"/>
      <c r="K92" s="221"/>
      <c r="L92" s="222"/>
      <c r="M92" s="222"/>
      <c r="N92" s="222"/>
      <c r="O92" s="222"/>
      <c r="P92" s="222"/>
      <c r="Q92" s="222"/>
      <c r="R92" s="222"/>
      <c r="S92" s="222"/>
      <c r="T92" s="222"/>
      <c r="U92" s="222"/>
      <c r="V92" s="222"/>
      <c r="W92" s="222"/>
      <c r="X92" s="222"/>
      <c r="Y92" s="222"/>
      <c r="Z92" s="222"/>
      <c r="AA92" s="222"/>
      <c r="AB92" s="222"/>
      <c r="AC92" s="222"/>
      <c r="AD92" s="222"/>
      <c r="AE92" s="222"/>
      <c r="AF92" s="222"/>
      <c r="AG92" s="222"/>
      <c r="AH92" s="222"/>
      <c r="AI92" s="222"/>
      <c r="AJ92" s="222"/>
    </row>
    <row r="93" spans="1:75" s="224" customFormat="1" ht="12.75" customHeight="1" x14ac:dyDescent="0.25">
      <c r="A93" s="223" t="s">
        <v>209</v>
      </c>
      <c r="C93" s="225"/>
      <c r="D93" s="226"/>
      <c r="E93" s="226"/>
      <c r="F93" s="226"/>
      <c r="G93" s="226"/>
      <c r="H93" s="226"/>
      <c r="I93" s="226"/>
      <c r="J93" s="226"/>
      <c r="K93" s="226"/>
      <c r="L93" s="226"/>
      <c r="M93" s="226"/>
      <c r="N93" s="226"/>
      <c r="O93" s="226"/>
      <c r="P93" s="226"/>
      <c r="Q93" s="226"/>
      <c r="R93" s="226"/>
      <c r="S93" s="226"/>
      <c r="T93" s="226"/>
      <c r="U93" s="226"/>
      <c r="V93" s="226"/>
      <c r="W93" s="226"/>
      <c r="X93" s="226"/>
      <c r="Y93" s="226"/>
      <c r="Z93" s="226"/>
      <c r="AA93" s="226"/>
      <c r="AB93" s="226"/>
      <c r="AC93" s="226"/>
      <c r="AD93" s="226"/>
      <c r="AE93" s="226"/>
      <c r="AF93" s="226"/>
      <c r="AG93" s="226"/>
      <c r="AH93" s="226"/>
      <c r="AI93" s="226"/>
      <c r="AJ93" s="226"/>
    </row>
    <row r="94" spans="1:75" s="224" customFormat="1" x14ac:dyDescent="0.2">
      <c r="A94" s="227" t="s">
        <v>210</v>
      </c>
      <c r="C94" s="228">
        <v>79.027417868328826</v>
      </c>
      <c r="D94" s="228">
        <v>87.076009979463009</v>
      </c>
      <c r="E94" s="228">
        <v>89.093521889999934</v>
      </c>
      <c r="F94" s="228">
        <v>89.235530213007365</v>
      </c>
      <c r="G94" s="228">
        <v>90.941429151637607</v>
      </c>
      <c r="H94" s="228">
        <v>90.966723030381729</v>
      </c>
      <c r="I94" s="228">
        <v>90.928311519280498</v>
      </c>
      <c r="J94" s="228">
        <v>91.607918022772921</v>
      </c>
      <c r="K94" s="228">
        <v>91.862291250843967</v>
      </c>
      <c r="L94" s="228">
        <v>92.148893281696147</v>
      </c>
      <c r="M94" s="228">
        <v>92.589348800695234</v>
      </c>
      <c r="N94" s="228">
        <v>93.42001152118786</v>
      </c>
      <c r="O94" s="228">
        <v>93.802845027605585</v>
      </c>
      <c r="P94" s="228">
        <v>94.511236962173854</v>
      </c>
      <c r="Q94" s="228">
        <v>95.345170778885603</v>
      </c>
      <c r="R94" s="228">
        <v>96.556093347497821</v>
      </c>
      <c r="S94" s="228">
        <v>97.285729310068788</v>
      </c>
      <c r="T94" s="228">
        <v>98.332227993760753</v>
      </c>
      <c r="U94" s="228">
        <v>99.489004235308798</v>
      </c>
      <c r="V94" s="228">
        <v>101.0225350199085</v>
      </c>
      <c r="W94" s="228">
        <v>102.03874274728187</v>
      </c>
      <c r="X94" s="228">
        <v>103.37187245456077</v>
      </c>
      <c r="Y94" s="228">
        <v>104.80199302139413</v>
      </c>
      <c r="Z94" s="228">
        <v>104.02959036553763</v>
      </c>
      <c r="AA94" s="230"/>
      <c r="AB94" s="230"/>
      <c r="AC94" s="230"/>
      <c r="AD94" s="230"/>
      <c r="AE94" s="230"/>
      <c r="AF94" s="230"/>
      <c r="AG94" s="230"/>
      <c r="AH94" s="230"/>
      <c r="AI94" s="230"/>
      <c r="AJ94" s="230"/>
    </row>
    <row r="95" spans="1:75" s="224" customFormat="1" x14ac:dyDescent="0.2">
      <c r="A95" s="227" t="s">
        <v>211</v>
      </c>
      <c r="C95" s="231">
        <v>58.875426311904974</v>
      </c>
      <c r="D95" s="231">
        <v>64.871627434699946</v>
      </c>
      <c r="E95" s="231">
        <v>66.374673808049948</v>
      </c>
      <c r="F95" s="231">
        <v>66.480470008690489</v>
      </c>
      <c r="G95" s="231">
        <v>67.75136471797002</v>
      </c>
      <c r="H95" s="231">
        <v>67.770208657634385</v>
      </c>
      <c r="I95" s="231">
        <v>67.741592081863971</v>
      </c>
      <c r="J95" s="231">
        <v>68.247898926965831</v>
      </c>
      <c r="K95" s="231">
        <v>68.437406981878752</v>
      </c>
      <c r="L95" s="231">
        <v>68.650925494863628</v>
      </c>
      <c r="M95" s="231">
        <v>68.979064856517951</v>
      </c>
      <c r="N95" s="231">
        <v>69.597908583284948</v>
      </c>
      <c r="O95" s="231">
        <v>69.88311954556616</v>
      </c>
      <c r="P95" s="231">
        <v>70.410871536819513</v>
      </c>
      <c r="Q95" s="231">
        <v>71.032152230269773</v>
      </c>
      <c r="R95" s="231">
        <v>71.934289543885882</v>
      </c>
      <c r="S95" s="231">
        <v>72.477868336001251</v>
      </c>
      <c r="T95" s="231">
        <v>73.257509855351756</v>
      </c>
      <c r="U95" s="231">
        <v>74.119308155305049</v>
      </c>
      <c r="V95" s="231">
        <v>75.261788589831838</v>
      </c>
      <c r="W95" s="231">
        <v>76.018863346724999</v>
      </c>
      <c r="X95" s="231">
        <v>77.012044978647779</v>
      </c>
      <c r="Y95" s="231">
        <v>78.07748480093862</v>
      </c>
      <c r="Z95" s="231">
        <v>77.50204482232553</v>
      </c>
      <c r="AA95" s="231"/>
      <c r="AB95" s="231"/>
      <c r="AC95" s="231"/>
      <c r="AD95" s="231"/>
      <c r="AE95" s="231"/>
      <c r="AF95" s="231"/>
      <c r="AG95" s="231"/>
      <c r="AH95" s="231"/>
      <c r="AI95" s="231"/>
      <c r="AJ95" s="231"/>
    </row>
    <row r="96" spans="1:75" s="224" customFormat="1" x14ac:dyDescent="0.2">
      <c r="A96" s="227"/>
      <c r="C96" s="231"/>
      <c r="D96" s="231"/>
      <c r="E96" s="231"/>
      <c r="F96" s="231"/>
      <c r="G96" s="231"/>
      <c r="H96" s="231"/>
      <c r="I96" s="231"/>
      <c r="J96" s="231"/>
      <c r="K96" s="231"/>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row>
    <row r="97" spans="1:162" s="224" customFormat="1" x14ac:dyDescent="0.2">
      <c r="A97" s="227" t="s">
        <v>212</v>
      </c>
      <c r="C97" s="231">
        <v>23.239334259327734</v>
      </c>
      <c r="D97" s="231">
        <v>23.117603354712045</v>
      </c>
      <c r="E97" s="231">
        <v>22.986275290577616</v>
      </c>
      <c r="F97" s="231">
        <v>22.161378738252107</v>
      </c>
      <c r="G97" s="231">
        <v>21.967606903559595</v>
      </c>
      <c r="H97" s="231">
        <v>21.211349932210268</v>
      </c>
      <c r="I97" s="231">
        <v>23.273536366521419</v>
      </c>
      <c r="J97" s="231">
        <v>36.412824891450185</v>
      </c>
      <c r="K97" s="231">
        <v>40.12903366107939</v>
      </c>
      <c r="L97" s="231">
        <v>40.547961918453673</v>
      </c>
      <c r="M97" s="231">
        <v>40.650000000000006</v>
      </c>
      <c r="N97" s="231">
        <v>40.650000000000006</v>
      </c>
      <c r="O97" s="231">
        <v>40.650000000000006</v>
      </c>
      <c r="P97" s="231">
        <v>40.650000000000006</v>
      </c>
      <c r="Q97" s="231">
        <v>40.650000000000006</v>
      </c>
      <c r="R97" s="231">
        <v>40.650000000000006</v>
      </c>
      <c r="S97" s="231">
        <v>40.650000000000006</v>
      </c>
      <c r="T97" s="231">
        <v>40.650000000000013</v>
      </c>
      <c r="U97" s="231">
        <v>40.650000000000013</v>
      </c>
      <c r="V97" s="231">
        <v>40.650000000000013</v>
      </c>
      <c r="W97" s="231">
        <v>40.650000000000013</v>
      </c>
      <c r="X97" s="231">
        <v>40.650000000000013</v>
      </c>
      <c r="Y97" s="231">
        <v>40.650000000000013</v>
      </c>
      <c r="Z97" s="231">
        <v>40.650000000000013</v>
      </c>
      <c r="AA97" s="231"/>
      <c r="AB97" s="231"/>
      <c r="AC97" s="231"/>
      <c r="AD97" s="231"/>
      <c r="AE97" s="231"/>
      <c r="AF97" s="231"/>
      <c r="AG97" s="231"/>
      <c r="AH97" s="231"/>
      <c r="AI97" s="231"/>
      <c r="AJ97" s="231"/>
    </row>
    <row r="98" spans="1:162" s="224" customFormat="1" x14ac:dyDescent="0.2">
      <c r="A98" s="227" t="s">
        <v>213</v>
      </c>
      <c r="C98" s="231">
        <v>0</v>
      </c>
      <c r="D98" s="231">
        <v>0</v>
      </c>
      <c r="E98" s="231">
        <v>0</v>
      </c>
      <c r="F98" s="231">
        <v>0</v>
      </c>
      <c r="G98" s="231">
        <v>0</v>
      </c>
      <c r="H98" s="231">
        <v>0</v>
      </c>
      <c r="I98" s="231">
        <v>0</v>
      </c>
      <c r="J98" s="231">
        <v>5.8831602698693004</v>
      </c>
      <c r="K98" s="231">
        <v>30.156627032746901</v>
      </c>
      <c r="L98" s="231">
        <v>31.106013460440931</v>
      </c>
      <c r="M98" s="231">
        <v>32.476218374948068</v>
      </c>
      <c r="N98" s="231">
        <v>34.410956490592326</v>
      </c>
      <c r="O98" s="231">
        <v>35.63632791584331</v>
      </c>
      <c r="P98" s="231">
        <v>37.306159909564613</v>
      </c>
      <c r="Q98" s="231">
        <v>39.066033699539325</v>
      </c>
      <c r="R98" s="231">
        <v>41.291525124863497</v>
      </c>
      <c r="S98" s="231">
        <v>42.786736070072124</v>
      </c>
      <c r="T98" s="231">
        <v>44.972430262419763</v>
      </c>
      <c r="U98" s="231">
        <v>47.329172179509911</v>
      </c>
      <c r="V98" s="231">
        <v>50.212755827121001</v>
      </c>
      <c r="W98" s="231">
        <v>52.254581718542902</v>
      </c>
      <c r="X98" s="231">
        <v>54.804401286080413</v>
      </c>
      <c r="Y98" s="231">
        <v>57.436353930695972</v>
      </c>
      <c r="Z98" s="231">
        <v>56.355285982436016</v>
      </c>
      <c r="AA98" s="231"/>
      <c r="AB98" s="231"/>
      <c r="AC98" s="231"/>
      <c r="AD98" s="231"/>
      <c r="AE98" s="231"/>
      <c r="AF98" s="231"/>
      <c r="AG98" s="231"/>
      <c r="AH98" s="231"/>
      <c r="AI98" s="231"/>
      <c r="AJ98" s="231"/>
    </row>
    <row r="99" spans="1:162" s="224" customFormat="1" x14ac:dyDescent="0.2">
      <c r="A99" s="227" t="s">
        <v>214</v>
      </c>
      <c r="C99" s="231">
        <v>0.2633433764543604</v>
      </c>
      <c r="D99" s="231">
        <v>0.24025136073625003</v>
      </c>
      <c r="E99" s="231">
        <v>0.22122621072998944</v>
      </c>
      <c r="F99" s="231">
        <v>0.20557880962702338</v>
      </c>
      <c r="G99" s="231">
        <v>0.19067007928828089</v>
      </c>
      <c r="H99" s="231">
        <v>0.17776747482781205</v>
      </c>
      <c r="I99" s="231">
        <v>0.16630467307697325</v>
      </c>
      <c r="J99" s="231">
        <v>0.15649776762051448</v>
      </c>
      <c r="K99" s="231">
        <v>0.14663186539075862</v>
      </c>
      <c r="L99" s="231">
        <v>0.13787392588947367</v>
      </c>
      <c r="M99" s="231">
        <v>0.12999083270593817</v>
      </c>
      <c r="N99" s="231">
        <v>0.12322380479246016</v>
      </c>
      <c r="O99" s="231">
        <v>0.11621392964733131</v>
      </c>
      <c r="P99" s="231">
        <v>0.10991799717451335</v>
      </c>
      <c r="Q99" s="231">
        <v>0.10423164617913717</v>
      </c>
      <c r="R99" s="231">
        <v>9.9363079600920778E-2</v>
      </c>
      <c r="S99" s="231">
        <v>9.4197159922600582E-2</v>
      </c>
      <c r="T99" s="231">
        <v>8.9518582899003787E-2</v>
      </c>
      <c r="U99" s="231">
        <v>8.5287768934457012E-2</v>
      </c>
      <c r="V99" s="231">
        <v>8.1683739307186989E-2</v>
      </c>
      <c r="W99" s="231">
        <v>7.7772156614755242E-2</v>
      </c>
      <c r="X99" s="231">
        <v>7.4204457223135567E-2</v>
      </c>
      <c r="Y99" s="231">
        <v>7.0978731137678344E-2</v>
      </c>
      <c r="Z99" s="231">
        <v>6.824785329001215E-2</v>
      </c>
      <c r="AA99" s="231"/>
      <c r="AB99" s="231"/>
      <c r="AC99" s="231"/>
      <c r="AD99" s="231"/>
      <c r="AE99" s="231"/>
      <c r="AF99" s="231"/>
      <c r="AG99" s="231"/>
      <c r="AH99" s="231"/>
      <c r="AI99" s="231"/>
      <c r="AJ99" s="231"/>
    </row>
    <row r="100" spans="1:162" s="224" customFormat="1" x14ac:dyDescent="0.2">
      <c r="A100" s="227" t="s">
        <v>215</v>
      </c>
      <c r="C100" s="231">
        <f t="shared" ref="C100:Z100" si="39">C99+C98</f>
        <v>0.2633433764543604</v>
      </c>
      <c r="D100" s="231">
        <f t="shared" si="39"/>
        <v>0.24025136073625003</v>
      </c>
      <c r="E100" s="231">
        <f t="shared" si="39"/>
        <v>0.22122621072998944</v>
      </c>
      <c r="F100" s="231">
        <f t="shared" si="39"/>
        <v>0.20557880962702338</v>
      </c>
      <c r="G100" s="231">
        <f t="shared" si="39"/>
        <v>0.19067007928828089</v>
      </c>
      <c r="H100" s="231">
        <f t="shared" si="39"/>
        <v>0.17776747482781205</v>
      </c>
      <c r="I100" s="231">
        <f t="shared" si="39"/>
        <v>0.16630467307697325</v>
      </c>
      <c r="J100" s="231">
        <f t="shared" si="39"/>
        <v>6.039658037489815</v>
      </c>
      <c r="K100" s="231">
        <f t="shared" si="39"/>
        <v>30.30325889813766</v>
      </c>
      <c r="L100" s="231">
        <f t="shared" si="39"/>
        <v>31.243887386330403</v>
      </c>
      <c r="M100" s="231">
        <f t="shared" si="39"/>
        <v>32.606209207654004</v>
      </c>
      <c r="N100" s="231">
        <f t="shared" si="39"/>
        <v>34.534180295384786</v>
      </c>
      <c r="O100" s="231">
        <f t="shared" si="39"/>
        <v>35.75254184549064</v>
      </c>
      <c r="P100" s="231">
        <f t="shared" si="39"/>
        <v>37.416077906739126</v>
      </c>
      <c r="Q100" s="231">
        <f t="shared" si="39"/>
        <v>39.170265345718462</v>
      </c>
      <c r="R100" s="231">
        <f t="shared" si="39"/>
        <v>41.390888204464417</v>
      </c>
      <c r="S100" s="231">
        <f t="shared" si="39"/>
        <v>42.880933229994724</v>
      </c>
      <c r="T100" s="231">
        <f t="shared" si="39"/>
        <v>45.061948845318767</v>
      </c>
      <c r="U100" s="231">
        <f t="shared" si="39"/>
        <v>47.414459948444367</v>
      </c>
      <c r="V100" s="231">
        <f t="shared" si="39"/>
        <v>50.294439566428188</v>
      </c>
      <c r="W100" s="231">
        <f t="shared" si="39"/>
        <v>52.332353875157658</v>
      </c>
      <c r="X100" s="231">
        <f t="shared" si="39"/>
        <v>54.878605743303545</v>
      </c>
      <c r="Y100" s="231">
        <f t="shared" si="39"/>
        <v>57.507332661833651</v>
      </c>
      <c r="Z100" s="231">
        <f t="shared" si="39"/>
        <v>56.423533835726026</v>
      </c>
      <c r="AA100" s="231"/>
      <c r="AB100" s="231"/>
      <c r="AC100" s="231"/>
      <c r="AD100" s="231"/>
      <c r="AE100" s="231"/>
      <c r="AF100" s="231"/>
      <c r="AG100" s="231"/>
      <c r="AH100" s="231"/>
      <c r="AI100" s="231"/>
      <c r="AJ100" s="231"/>
    </row>
    <row r="101" spans="1:162" s="224" customFormat="1" x14ac:dyDescent="0.2">
      <c r="A101" s="227"/>
      <c r="C101" s="231"/>
      <c r="D101" s="231"/>
      <c r="E101" s="231"/>
      <c r="F101" s="231"/>
      <c r="G101" s="231"/>
      <c r="H101" s="231"/>
      <c r="I101" s="231"/>
      <c r="J101" s="231"/>
      <c r="K101" s="231"/>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row>
    <row r="102" spans="1:162" s="224" customFormat="1" x14ac:dyDescent="0.2">
      <c r="A102" s="227" t="s">
        <v>216</v>
      </c>
      <c r="C102" s="228">
        <v>0</v>
      </c>
      <c r="D102" s="228">
        <v>0</v>
      </c>
      <c r="E102" s="228">
        <v>0</v>
      </c>
      <c r="F102" s="228">
        <v>0</v>
      </c>
      <c r="G102" s="228">
        <v>0</v>
      </c>
      <c r="H102" s="228">
        <v>0</v>
      </c>
      <c r="I102" s="228">
        <v>0</v>
      </c>
      <c r="J102" s="228">
        <v>0</v>
      </c>
      <c r="K102" s="228">
        <v>0</v>
      </c>
      <c r="L102" s="228">
        <v>0</v>
      </c>
      <c r="M102" s="228">
        <v>0</v>
      </c>
      <c r="N102" s="228">
        <v>0</v>
      </c>
      <c r="O102" s="228">
        <v>0</v>
      </c>
      <c r="P102" s="228">
        <v>0</v>
      </c>
      <c r="Q102" s="228">
        <v>0</v>
      </c>
      <c r="R102" s="228">
        <v>0</v>
      </c>
      <c r="S102" s="228">
        <v>0</v>
      </c>
      <c r="T102" s="228">
        <v>0</v>
      </c>
      <c r="U102" s="228">
        <v>0</v>
      </c>
      <c r="V102" s="228">
        <v>0</v>
      </c>
      <c r="W102" s="228">
        <v>0</v>
      </c>
      <c r="X102" s="228">
        <v>0</v>
      </c>
      <c r="Y102" s="228">
        <v>0</v>
      </c>
      <c r="Z102" s="228">
        <v>0</v>
      </c>
      <c r="AA102" s="230"/>
      <c r="AB102" s="230"/>
      <c r="AC102" s="230"/>
      <c r="AD102" s="230"/>
      <c r="AE102" s="230"/>
      <c r="AF102" s="230"/>
      <c r="AG102" s="230"/>
      <c r="AH102" s="230"/>
      <c r="AI102" s="230"/>
      <c r="AJ102" s="230"/>
    </row>
    <row r="103" spans="1:162" s="224" customFormat="1" x14ac:dyDescent="0.2">
      <c r="A103" s="227" t="s">
        <v>217</v>
      </c>
      <c r="C103" s="231">
        <v>0</v>
      </c>
      <c r="D103" s="231">
        <v>0</v>
      </c>
      <c r="E103" s="231">
        <v>0</v>
      </c>
      <c r="F103" s="231">
        <v>0</v>
      </c>
      <c r="G103" s="231">
        <v>0</v>
      </c>
      <c r="H103" s="231">
        <v>0</v>
      </c>
      <c r="I103" s="231">
        <v>0</v>
      </c>
      <c r="J103" s="231">
        <v>0</v>
      </c>
      <c r="K103" s="231">
        <v>0</v>
      </c>
      <c r="L103" s="231">
        <v>0</v>
      </c>
      <c r="M103" s="231">
        <v>0</v>
      </c>
      <c r="N103" s="231">
        <v>0</v>
      </c>
      <c r="O103" s="231">
        <v>0</v>
      </c>
      <c r="P103" s="231">
        <v>0</v>
      </c>
      <c r="Q103" s="231">
        <v>0</v>
      </c>
      <c r="R103" s="231">
        <v>0</v>
      </c>
      <c r="S103" s="231">
        <v>0</v>
      </c>
      <c r="T103" s="231">
        <v>0</v>
      </c>
      <c r="U103" s="231">
        <v>0</v>
      </c>
      <c r="V103" s="231">
        <v>0</v>
      </c>
      <c r="W103" s="231">
        <v>0</v>
      </c>
      <c r="X103" s="231">
        <v>0</v>
      </c>
      <c r="Y103" s="231">
        <v>0</v>
      </c>
      <c r="Z103" s="231">
        <v>0</v>
      </c>
      <c r="AA103" s="231"/>
      <c r="AB103" s="231"/>
      <c r="AC103" s="231"/>
      <c r="AD103" s="231"/>
      <c r="AE103" s="231"/>
      <c r="AF103" s="231"/>
      <c r="AG103" s="231"/>
      <c r="AH103" s="231"/>
      <c r="AI103" s="231"/>
      <c r="AJ103" s="231"/>
    </row>
    <row r="104" spans="1:162" s="224" customFormat="1" x14ac:dyDescent="0.2">
      <c r="A104" s="227"/>
      <c r="C104" s="231"/>
      <c r="D104" s="231"/>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1"/>
      <c r="AA104" s="231"/>
      <c r="AB104" s="231"/>
      <c r="AC104" s="231"/>
      <c r="AD104" s="231"/>
      <c r="AE104" s="231"/>
      <c r="AF104" s="231"/>
      <c r="AG104" s="231"/>
      <c r="AH104" s="231"/>
      <c r="AI104" s="231"/>
      <c r="AJ104" s="231"/>
    </row>
    <row r="105" spans="1:162" s="224" customFormat="1" x14ac:dyDescent="0.2">
      <c r="A105" s="227" t="s">
        <v>218</v>
      </c>
      <c r="C105" s="231">
        <v>0</v>
      </c>
      <c r="D105" s="231">
        <v>0</v>
      </c>
      <c r="E105" s="231">
        <v>0</v>
      </c>
      <c r="F105" s="231">
        <v>0</v>
      </c>
      <c r="G105" s="231">
        <v>0</v>
      </c>
      <c r="H105" s="231">
        <v>0</v>
      </c>
      <c r="I105" s="231">
        <v>0</v>
      </c>
      <c r="J105" s="231">
        <v>0</v>
      </c>
      <c r="K105" s="231">
        <v>0</v>
      </c>
      <c r="L105" s="231">
        <v>0</v>
      </c>
      <c r="M105" s="231">
        <v>0</v>
      </c>
      <c r="N105" s="231">
        <v>0</v>
      </c>
      <c r="O105" s="231">
        <v>0</v>
      </c>
      <c r="P105" s="231">
        <v>0</v>
      </c>
      <c r="Q105" s="231">
        <v>0</v>
      </c>
      <c r="R105" s="231">
        <v>0</v>
      </c>
      <c r="S105" s="231">
        <v>0</v>
      </c>
      <c r="T105" s="231">
        <v>0</v>
      </c>
      <c r="U105" s="231">
        <v>0</v>
      </c>
      <c r="V105" s="231">
        <v>0</v>
      </c>
      <c r="W105" s="231">
        <v>0</v>
      </c>
      <c r="X105" s="231">
        <v>0</v>
      </c>
      <c r="Y105" s="231">
        <v>0</v>
      </c>
      <c r="Z105" s="231">
        <v>0</v>
      </c>
      <c r="AA105" s="231"/>
      <c r="AB105" s="231"/>
      <c r="AC105" s="231"/>
      <c r="AD105" s="231"/>
      <c r="AE105" s="231"/>
      <c r="AF105" s="231"/>
      <c r="AG105" s="231"/>
      <c r="AH105" s="231"/>
      <c r="AI105" s="231"/>
      <c r="AJ105" s="231"/>
    </row>
    <row r="106" spans="1:162" s="224" customFormat="1" x14ac:dyDescent="0.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c r="AC106" s="232"/>
      <c r="AD106" s="232"/>
      <c r="AE106" s="232"/>
      <c r="AF106" s="232"/>
      <c r="AG106" s="232"/>
      <c r="AH106" s="232"/>
      <c r="AI106" s="232"/>
      <c r="AJ106" s="232"/>
    </row>
    <row r="107" spans="1:162" s="234" customFormat="1" x14ac:dyDescent="0.2">
      <c r="A107" s="227" t="s">
        <v>219</v>
      </c>
      <c r="B107" s="224"/>
      <c r="C107" s="231" t="e">
        <f t="shared" ref="C107:Z107" ca="1" si="40">C102+C94+C86+C50+C100+C105</f>
        <v>#NAME?</v>
      </c>
      <c r="D107" s="231" t="e">
        <f t="shared" ca="1" si="40"/>
        <v>#NAME?</v>
      </c>
      <c r="E107" s="231" t="e">
        <f t="shared" ca="1" si="40"/>
        <v>#NAME?</v>
      </c>
      <c r="F107" s="231" t="e">
        <f t="shared" ca="1" si="40"/>
        <v>#NAME?</v>
      </c>
      <c r="G107" s="231" t="e">
        <f t="shared" ca="1" si="40"/>
        <v>#NAME?</v>
      </c>
      <c r="H107" s="231" t="e">
        <f t="shared" ca="1" si="40"/>
        <v>#NAME?</v>
      </c>
      <c r="I107" s="231" t="e">
        <f t="shared" ca="1" si="40"/>
        <v>#NAME?</v>
      </c>
      <c r="J107" s="231" t="e">
        <f t="shared" ca="1" si="40"/>
        <v>#NAME?</v>
      </c>
      <c r="K107" s="231" t="e">
        <f t="shared" ca="1" si="40"/>
        <v>#NAME?</v>
      </c>
      <c r="L107" s="231" t="e">
        <f t="shared" ca="1" si="40"/>
        <v>#NAME?</v>
      </c>
      <c r="M107" s="231" t="e">
        <f t="shared" ca="1" si="40"/>
        <v>#NAME?</v>
      </c>
      <c r="N107" s="231" t="e">
        <f t="shared" ca="1" si="40"/>
        <v>#NAME?</v>
      </c>
      <c r="O107" s="231" t="e">
        <f t="shared" ca="1" si="40"/>
        <v>#NAME?</v>
      </c>
      <c r="P107" s="231" t="e">
        <f t="shared" ca="1" si="40"/>
        <v>#NAME?</v>
      </c>
      <c r="Q107" s="231" t="e">
        <f t="shared" ca="1" si="40"/>
        <v>#NAME?</v>
      </c>
      <c r="R107" s="231" t="e">
        <f t="shared" ca="1" si="40"/>
        <v>#NAME?</v>
      </c>
      <c r="S107" s="231" t="e">
        <f t="shared" ca="1" si="40"/>
        <v>#NAME?</v>
      </c>
      <c r="T107" s="231" t="e">
        <f t="shared" ca="1" si="40"/>
        <v>#NAME?</v>
      </c>
      <c r="U107" s="231" t="e">
        <f t="shared" ca="1" si="40"/>
        <v>#NAME?</v>
      </c>
      <c r="V107" s="231" t="e">
        <f t="shared" ca="1" si="40"/>
        <v>#NAME?</v>
      </c>
      <c r="W107" s="231" t="e">
        <f t="shared" ca="1" si="40"/>
        <v>#NAME?</v>
      </c>
      <c r="X107" s="231" t="e">
        <f t="shared" ca="1" si="40"/>
        <v>#NAME?</v>
      </c>
      <c r="Y107" s="231" t="e">
        <f t="shared" ca="1" si="40"/>
        <v>#NAME?</v>
      </c>
      <c r="Z107" s="231" t="e">
        <f t="shared" ca="1" si="40"/>
        <v>#NAME?</v>
      </c>
      <c r="AA107" s="229"/>
      <c r="AB107" s="229"/>
      <c r="AC107" s="229"/>
      <c r="AD107" s="229"/>
      <c r="AE107" s="229"/>
      <c r="AF107" s="229"/>
      <c r="AG107" s="229"/>
      <c r="AH107" s="229"/>
      <c r="AI107" s="229"/>
      <c r="AJ107" s="229"/>
      <c r="AK107" s="233"/>
      <c r="AL107" s="233"/>
      <c r="AM107" s="233"/>
      <c r="AN107" s="233"/>
      <c r="AO107" s="233"/>
      <c r="AP107" s="233"/>
      <c r="AQ107" s="233"/>
      <c r="AR107" s="233"/>
      <c r="AS107" s="233"/>
    </row>
    <row r="108" spans="1:162" s="224" customFormat="1" x14ac:dyDescent="0.2">
      <c r="A108" s="227" t="s">
        <v>220</v>
      </c>
      <c r="C108" s="228" t="e">
        <f t="shared" ref="C108:Z108" ca="1" si="41">C105+C103+C100+C95+C86+C53</f>
        <v>#NAME?</v>
      </c>
      <c r="D108" s="228" t="e">
        <f t="shared" ca="1" si="41"/>
        <v>#NAME?</v>
      </c>
      <c r="E108" s="228" t="e">
        <f t="shared" ca="1" si="41"/>
        <v>#NAME?</v>
      </c>
      <c r="F108" s="228" t="e">
        <f t="shared" ca="1" si="41"/>
        <v>#NAME?</v>
      </c>
      <c r="G108" s="228" t="e">
        <f t="shared" ca="1" si="41"/>
        <v>#NAME?</v>
      </c>
      <c r="H108" s="228" t="e">
        <f t="shared" ca="1" si="41"/>
        <v>#NAME?</v>
      </c>
      <c r="I108" s="228" t="e">
        <f t="shared" ca="1" si="41"/>
        <v>#NAME?</v>
      </c>
      <c r="J108" s="228" t="e">
        <f t="shared" ca="1" si="41"/>
        <v>#NAME?</v>
      </c>
      <c r="K108" s="228" t="e">
        <f t="shared" ca="1" si="41"/>
        <v>#NAME?</v>
      </c>
      <c r="L108" s="228" t="e">
        <f t="shared" ca="1" si="41"/>
        <v>#NAME?</v>
      </c>
      <c r="M108" s="228" t="e">
        <f t="shared" ca="1" si="41"/>
        <v>#NAME?</v>
      </c>
      <c r="N108" s="228" t="e">
        <f t="shared" ca="1" si="41"/>
        <v>#NAME?</v>
      </c>
      <c r="O108" s="228" t="e">
        <f t="shared" ca="1" si="41"/>
        <v>#NAME?</v>
      </c>
      <c r="P108" s="228" t="e">
        <f t="shared" ca="1" si="41"/>
        <v>#NAME?</v>
      </c>
      <c r="Q108" s="228" t="e">
        <f t="shared" ca="1" si="41"/>
        <v>#NAME?</v>
      </c>
      <c r="R108" s="228" t="e">
        <f t="shared" ca="1" si="41"/>
        <v>#NAME?</v>
      </c>
      <c r="S108" s="228" t="e">
        <f t="shared" ca="1" si="41"/>
        <v>#NAME?</v>
      </c>
      <c r="T108" s="228" t="e">
        <f t="shared" ca="1" si="41"/>
        <v>#NAME?</v>
      </c>
      <c r="U108" s="228" t="e">
        <f t="shared" ca="1" si="41"/>
        <v>#NAME?</v>
      </c>
      <c r="V108" s="228" t="e">
        <f t="shared" ca="1" si="41"/>
        <v>#NAME?</v>
      </c>
      <c r="W108" s="228" t="e">
        <f t="shared" ca="1" si="41"/>
        <v>#NAME?</v>
      </c>
      <c r="X108" s="228" t="e">
        <f t="shared" ca="1" si="41"/>
        <v>#NAME?</v>
      </c>
      <c r="Y108" s="228" t="e">
        <f t="shared" ca="1" si="41"/>
        <v>#NAME?</v>
      </c>
      <c r="Z108" s="228" t="e">
        <f t="shared" ca="1" si="41"/>
        <v>#NAME?</v>
      </c>
      <c r="AA108" s="228"/>
      <c r="AB108" s="228"/>
      <c r="AC108" s="228"/>
      <c r="AD108" s="228"/>
      <c r="AE108" s="228"/>
      <c r="AF108" s="228"/>
      <c r="AG108" s="228"/>
      <c r="AH108" s="228"/>
      <c r="AI108" s="228"/>
      <c r="AJ108" s="235"/>
      <c r="AK108" s="229"/>
      <c r="AL108" s="229"/>
      <c r="AM108" s="229"/>
      <c r="AN108" s="229"/>
      <c r="AO108" s="229"/>
      <c r="AP108" s="229"/>
      <c r="AQ108" s="229"/>
      <c r="AR108" s="229"/>
      <c r="AS108" s="229"/>
    </row>
    <row r="109" spans="1:162" s="149" customFormat="1" x14ac:dyDescent="0.2">
      <c r="A109" s="208"/>
      <c r="B109" s="236"/>
      <c r="C109" s="237"/>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238"/>
      <c r="AK109" s="237"/>
      <c r="AL109" s="237"/>
      <c r="AM109" s="237"/>
      <c r="AN109" s="237"/>
      <c r="AO109" s="237"/>
      <c r="AP109" s="237"/>
      <c r="AQ109" s="237"/>
      <c r="AR109" s="237"/>
      <c r="AS109" s="237"/>
    </row>
    <row r="110" spans="1:162" s="244" customFormat="1" ht="9.75" customHeight="1" x14ac:dyDescent="0.25">
      <c r="A110" s="239"/>
      <c r="B110" s="240"/>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2"/>
      <c r="AB110" s="242"/>
      <c r="AC110" s="243"/>
      <c r="AD110" s="243"/>
      <c r="AE110" s="243"/>
      <c r="AF110" s="243"/>
      <c r="AG110" s="243"/>
      <c r="AH110" s="243"/>
    </row>
    <row r="111" spans="1:162" s="179" customFormat="1" ht="15.75" x14ac:dyDescent="0.25">
      <c r="A111" s="245" t="s">
        <v>221</v>
      </c>
      <c r="C111" s="246"/>
      <c r="D111" s="246"/>
      <c r="E111" s="246"/>
      <c r="F111" s="246"/>
      <c r="G111" s="246"/>
      <c r="H111" s="246"/>
      <c r="I111" s="246"/>
      <c r="J111" s="246"/>
      <c r="K111" s="246"/>
      <c r="L111" s="246"/>
      <c r="M111" s="246"/>
      <c r="N111" s="246"/>
      <c r="O111" s="246"/>
      <c r="P111" s="246"/>
      <c r="Q111" s="246"/>
      <c r="R111" s="246"/>
      <c r="S111" s="246"/>
      <c r="T111" s="246"/>
      <c r="U111" s="246"/>
      <c r="V111" s="246"/>
      <c r="W111" s="246"/>
      <c r="X111" s="246"/>
      <c r="Y111" s="246"/>
      <c r="Z111" s="246"/>
      <c r="AA111" s="247"/>
      <c r="AB111" s="247"/>
      <c r="AC111" s="247"/>
      <c r="AD111" s="180"/>
      <c r="AE111" s="180"/>
      <c r="AF111" s="180"/>
      <c r="AG111" s="180"/>
      <c r="AH111" s="180"/>
    </row>
    <row r="112" spans="1:162" s="179" customFormat="1" x14ac:dyDescent="0.2">
      <c r="A112" s="174" t="str">
        <f>"Actual Prices (To use, pick 'Actual' on line "&amp;ROW(8:8)&amp;")"</f>
        <v>Actual Prices (To use, pick 'Actual' on line 8)</v>
      </c>
      <c r="C112" s="175"/>
      <c r="D112" s="175"/>
      <c r="E112" s="175"/>
      <c r="F112" s="175"/>
      <c r="G112" s="175"/>
      <c r="H112" s="175"/>
      <c r="I112" s="175"/>
      <c r="J112" s="175"/>
      <c r="K112" s="175"/>
      <c r="L112" s="175"/>
      <c r="AC112" s="248"/>
      <c r="AD112" s="248"/>
      <c r="AE112" s="248"/>
      <c r="AF112" s="248"/>
      <c r="AG112" s="248"/>
      <c r="AH112" s="248"/>
      <c r="AI112" s="249"/>
      <c r="AJ112" s="249"/>
      <c r="AK112" s="249"/>
      <c r="AL112" s="249"/>
      <c r="AM112" s="249"/>
      <c r="AN112" s="249"/>
      <c r="AO112" s="249"/>
      <c r="AP112" s="249"/>
      <c r="AQ112" s="249"/>
      <c r="AR112" s="249"/>
      <c r="AS112" s="249"/>
      <c r="AT112" s="249"/>
      <c r="AU112" s="249"/>
      <c r="AV112" s="249"/>
      <c r="AW112" s="249"/>
      <c r="AX112" s="249"/>
      <c r="AY112" s="249"/>
      <c r="AZ112" s="249"/>
      <c r="BA112" s="249"/>
      <c r="BB112" s="249"/>
      <c r="BC112" s="249"/>
      <c r="BD112" s="249"/>
      <c r="BE112" s="249"/>
      <c r="BF112" s="249"/>
      <c r="BG112" s="249"/>
      <c r="BH112" s="249"/>
      <c r="BI112" s="249"/>
      <c r="BJ112" s="249"/>
      <c r="BK112" s="249"/>
      <c r="BL112" s="249"/>
      <c r="BM112" s="249"/>
      <c r="BN112" s="249"/>
      <c r="BO112" s="249"/>
      <c r="BP112" s="249"/>
      <c r="BQ112" s="249"/>
      <c r="BR112" s="249"/>
      <c r="BS112" s="249"/>
      <c r="BT112" s="249"/>
      <c r="BU112" s="249"/>
      <c r="BV112" s="249"/>
      <c r="BW112" s="249"/>
      <c r="BX112" s="249"/>
      <c r="BY112" s="249"/>
      <c r="BZ112" s="249"/>
      <c r="CA112" s="249"/>
      <c r="CB112" s="249"/>
      <c r="CC112" s="249"/>
      <c r="CD112" s="249"/>
      <c r="CE112" s="249"/>
      <c r="CF112" s="249"/>
      <c r="CG112" s="249"/>
      <c r="CH112" s="249"/>
      <c r="CI112" s="249"/>
      <c r="CJ112" s="249"/>
      <c r="CK112" s="249"/>
      <c r="CL112" s="249"/>
      <c r="CM112" s="249"/>
      <c r="CN112" s="249"/>
      <c r="CO112" s="249"/>
      <c r="CP112" s="249"/>
      <c r="CQ112" s="249"/>
      <c r="CR112" s="249"/>
      <c r="CS112" s="249"/>
      <c r="CT112" s="249"/>
      <c r="CU112" s="249"/>
      <c r="CV112" s="249"/>
      <c r="CW112" s="249"/>
      <c r="CX112" s="249"/>
      <c r="CY112" s="249"/>
      <c r="CZ112" s="249"/>
      <c r="DA112" s="249"/>
      <c r="DB112" s="249"/>
      <c r="DC112" s="249"/>
      <c r="DD112" s="249"/>
      <c r="DE112" s="249"/>
      <c r="DF112" s="249"/>
      <c r="DG112" s="249"/>
      <c r="DH112" s="249"/>
      <c r="DI112" s="249"/>
      <c r="DJ112" s="249"/>
      <c r="DK112" s="249"/>
      <c r="DL112" s="249"/>
      <c r="DM112" s="249"/>
      <c r="DN112" s="249"/>
      <c r="DO112" s="249"/>
      <c r="DP112" s="249"/>
      <c r="DQ112" s="249"/>
      <c r="DR112" s="249"/>
      <c r="DS112" s="249"/>
      <c r="DT112" s="249"/>
      <c r="DU112" s="249"/>
      <c r="DV112" s="249"/>
      <c r="DW112" s="249"/>
      <c r="DX112" s="249"/>
      <c r="DY112" s="249"/>
      <c r="DZ112" s="249"/>
      <c r="EA112" s="249"/>
      <c r="EB112" s="249"/>
      <c r="EC112" s="249"/>
      <c r="ED112" s="249"/>
      <c r="EE112" s="249"/>
      <c r="EF112" s="249"/>
      <c r="EG112" s="249"/>
      <c r="EH112" s="249"/>
      <c r="EI112" s="249"/>
      <c r="EJ112" s="249"/>
      <c r="EK112" s="249"/>
      <c r="EL112" s="249"/>
      <c r="EM112" s="249"/>
      <c r="EN112" s="249"/>
      <c r="EO112" s="249"/>
      <c r="EP112" s="249"/>
      <c r="EQ112" s="249"/>
      <c r="ER112" s="249"/>
      <c r="ES112" s="249"/>
      <c r="ET112" s="249"/>
      <c r="EU112" s="249"/>
      <c r="EV112" s="249"/>
      <c r="EW112" s="249"/>
      <c r="EX112" s="249"/>
      <c r="EY112" s="249"/>
      <c r="EZ112" s="249"/>
      <c r="FA112" s="249"/>
      <c r="FB112" s="249"/>
      <c r="FC112" s="249"/>
      <c r="FD112" s="249"/>
      <c r="FE112" s="249"/>
      <c r="FF112" s="249"/>
    </row>
    <row r="113" spans="1:162" s="179" customFormat="1" x14ac:dyDescent="0.2">
      <c r="A113" s="174" t="str">
        <f>"Actual Production (To use, pick 'Actual' on line "&amp;ROW(26:26)&amp;")"</f>
        <v>Actual Production (To use, pick 'Actual' on line 26)</v>
      </c>
      <c r="C113" s="250"/>
      <c r="AC113" s="248"/>
      <c r="AD113" s="248"/>
      <c r="AE113" s="248"/>
      <c r="AF113" s="248"/>
      <c r="AG113" s="248"/>
      <c r="AH113" s="248"/>
      <c r="AI113" s="249"/>
      <c r="AJ113" s="249"/>
      <c r="AK113" s="249"/>
      <c r="AL113" s="249"/>
      <c r="AM113" s="249"/>
      <c r="AN113" s="249"/>
      <c r="AO113" s="249"/>
      <c r="AP113" s="249"/>
      <c r="AQ113" s="249"/>
      <c r="AR113" s="249"/>
      <c r="AS113" s="249"/>
      <c r="AT113" s="249"/>
      <c r="AU113" s="249"/>
      <c r="AV113" s="249"/>
      <c r="AW113" s="249"/>
      <c r="AX113" s="249"/>
      <c r="AY113" s="249"/>
      <c r="AZ113" s="249"/>
      <c r="BA113" s="249"/>
      <c r="BB113" s="249"/>
      <c r="BC113" s="249"/>
      <c r="BD113" s="249"/>
      <c r="BE113" s="249"/>
      <c r="BF113" s="249"/>
      <c r="BG113" s="249"/>
      <c r="BH113" s="249"/>
      <c r="BI113" s="249"/>
      <c r="BJ113" s="249"/>
      <c r="BK113" s="249"/>
      <c r="BL113" s="249"/>
      <c r="BM113" s="249"/>
      <c r="BN113" s="249"/>
      <c r="BO113" s="249"/>
      <c r="BP113" s="249"/>
      <c r="BQ113" s="249"/>
      <c r="BR113" s="249"/>
      <c r="BS113" s="249"/>
      <c r="BT113" s="249"/>
      <c r="BU113" s="249"/>
      <c r="BV113" s="249"/>
      <c r="BW113" s="249"/>
      <c r="BX113" s="249"/>
      <c r="BY113" s="249"/>
      <c r="BZ113" s="249"/>
      <c r="CA113" s="249"/>
      <c r="CB113" s="249"/>
      <c r="CC113" s="249"/>
      <c r="CD113" s="249"/>
      <c r="CE113" s="249"/>
      <c r="CF113" s="249"/>
      <c r="CG113" s="249"/>
      <c r="CH113" s="249"/>
      <c r="CI113" s="249"/>
      <c r="CJ113" s="249"/>
      <c r="CK113" s="249"/>
      <c r="CL113" s="249"/>
      <c r="CM113" s="249"/>
      <c r="CN113" s="249"/>
      <c r="CO113" s="249"/>
      <c r="CP113" s="249"/>
      <c r="CQ113" s="249"/>
      <c r="CR113" s="249"/>
      <c r="CS113" s="249"/>
      <c r="CT113" s="249"/>
      <c r="CU113" s="249"/>
      <c r="CV113" s="249"/>
      <c r="CW113" s="249"/>
      <c r="CX113" s="249"/>
      <c r="CY113" s="249"/>
      <c r="CZ113" s="249"/>
      <c r="DA113" s="249"/>
      <c r="DB113" s="249"/>
      <c r="DC113" s="249"/>
      <c r="DD113" s="249"/>
      <c r="DE113" s="249"/>
      <c r="DF113" s="249"/>
      <c r="DG113" s="249"/>
      <c r="DH113" s="249"/>
      <c r="DI113" s="249"/>
      <c r="DJ113" s="249"/>
      <c r="DK113" s="249"/>
      <c r="DL113" s="249"/>
      <c r="DM113" s="249"/>
      <c r="DN113" s="249"/>
      <c r="DO113" s="249"/>
      <c r="DP113" s="249"/>
      <c r="DQ113" s="249"/>
      <c r="DR113" s="249"/>
      <c r="DS113" s="249"/>
      <c r="DT113" s="249"/>
      <c r="DU113" s="249"/>
      <c r="DV113" s="249"/>
      <c r="DW113" s="249"/>
      <c r="DX113" s="249"/>
      <c r="DY113" s="249"/>
      <c r="DZ113" s="249"/>
      <c r="EA113" s="249"/>
      <c r="EB113" s="249"/>
      <c r="EC113" s="249"/>
      <c r="ED113" s="249"/>
      <c r="EE113" s="249"/>
      <c r="EF113" s="249"/>
      <c r="EG113" s="249"/>
      <c r="EH113" s="249"/>
      <c r="EI113" s="249"/>
      <c r="EJ113" s="249"/>
      <c r="EK113" s="249"/>
      <c r="EL113" s="249"/>
      <c r="EM113" s="249"/>
      <c r="EN113" s="249"/>
      <c r="EO113" s="249"/>
      <c r="EP113" s="249"/>
      <c r="EQ113" s="249"/>
      <c r="ER113" s="249"/>
      <c r="ES113" s="249"/>
      <c r="ET113" s="249"/>
      <c r="EU113" s="249"/>
      <c r="EV113" s="249"/>
      <c r="EW113" s="249"/>
      <c r="EX113" s="249"/>
      <c r="EY113" s="249"/>
      <c r="EZ113" s="249"/>
      <c r="FA113" s="249"/>
      <c r="FB113" s="249"/>
      <c r="FC113" s="249"/>
      <c r="FD113" s="249"/>
      <c r="FE113" s="249"/>
      <c r="FF113" s="249"/>
    </row>
    <row r="114" spans="1:162" s="179" customFormat="1" x14ac:dyDescent="0.2">
      <c r="A114" s="184"/>
      <c r="C114" s="251"/>
      <c r="D114" s="251"/>
      <c r="E114" s="251"/>
      <c r="F114" s="251"/>
      <c r="G114" s="251"/>
      <c r="H114" s="251"/>
      <c r="I114" s="251"/>
      <c r="K114" s="252"/>
      <c r="L114" s="251"/>
      <c r="M114" s="251"/>
      <c r="N114" s="251"/>
      <c r="O114" s="251"/>
      <c r="P114" s="251"/>
      <c r="Q114" s="251"/>
      <c r="R114" s="251"/>
      <c r="S114" s="251"/>
      <c r="T114" s="251"/>
      <c r="U114" s="251"/>
      <c r="V114" s="251"/>
      <c r="W114" s="251"/>
      <c r="X114" s="251"/>
      <c r="Y114" s="251"/>
      <c r="Z114" s="251"/>
      <c r="AA114" s="253"/>
      <c r="AB114" s="253"/>
      <c r="AC114" s="253"/>
      <c r="AD114" s="253"/>
      <c r="AE114" s="253"/>
      <c r="AF114" s="253"/>
      <c r="AG114" s="253"/>
      <c r="AH114" s="253"/>
      <c r="AI114" s="253"/>
      <c r="AJ114" s="249"/>
      <c r="AK114" s="249"/>
      <c r="AL114" s="249"/>
      <c r="AM114" s="249"/>
      <c r="AN114" s="249"/>
      <c r="AO114" s="249"/>
      <c r="AP114" s="249"/>
      <c r="AQ114" s="249"/>
      <c r="AR114" s="249"/>
      <c r="AS114" s="249"/>
      <c r="AT114" s="249"/>
      <c r="AU114" s="249"/>
      <c r="AV114" s="249"/>
      <c r="AW114" s="249"/>
      <c r="AX114" s="249"/>
      <c r="AY114" s="249"/>
      <c r="AZ114" s="249"/>
      <c r="BA114" s="249"/>
      <c r="BB114" s="249"/>
      <c r="BC114" s="249"/>
      <c r="BD114" s="249"/>
      <c r="BE114" s="249"/>
      <c r="BF114" s="249"/>
      <c r="BG114" s="249"/>
      <c r="BH114" s="249"/>
      <c r="BI114" s="249"/>
      <c r="BJ114" s="249"/>
      <c r="BK114" s="249"/>
      <c r="BL114" s="249"/>
      <c r="BM114" s="249"/>
      <c r="BN114" s="249"/>
      <c r="BO114" s="249"/>
      <c r="BP114" s="249"/>
      <c r="BQ114" s="249"/>
      <c r="BR114" s="249"/>
      <c r="BS114" s="249"/>
      <c r="BT114" s="249"/>
      <c r="BU114" s="249"/>
      <c r="BV114" s="249"/>
      <c r="BW114" s="249"/>
      <c r="BX114" s="249"/>
      <c r="BY114" s="249"/>
      <c r="BZ114" s="249"/>
      <c r="CA114" s="249"/>
      <c r="CB114" s="249"/>
      <c r="CC114" s="249"/>
      <c r="CD114" s="249"/>
      <c r="CE114" s="249"/>
      <c r="CF114" s="249"/>
      <c r="CG114" s="249"/>
      <c r="CH114" s="249"/>
      <c r="CI114" s="249"/>
      <c r="CJ114" s="249"/>
      <c r="CK114" s="249"/>
      <c r="CL114" s="249"/>
      <c r="CM114" s="249"/>
      <c r="CN114" s="249"/>
      <c r="CO114" s="249"/>
      <c r="CP114" s="249"/>
      <c r="CQ114" s="249"/>
      <c r="CR114" s="249"/>
      <c r="CS114" s="249"/>
      <c r="CT114" s="249"/>
      <c r="CU114" s="249"/>
      <c r="CV114" s="249"/>
      <c r="CW114" s="249"/>
      <c r="CX114" s="249"/>
      <c r="CY114" s="249"/>
      <c r="CZ114" s="249"/>
      <c r="DA114" s="249"/>
      <c r="DB114" s="249"/>
      <c r="DC114" s="249"/>
      <c r="DD114" s="249"/>
      <c r="DE114" s="249"/>
      <c r="DF114" s="249"/>
      <c r="DG114" s="249"/>
      <c r="DH114" s="249"/>
      <c r="DI114" s="249"/>
      <c r="DJ114" s="249"/>
      <c r="DK114" s="249"/>
      <c r="DL114" s="249"/>
      <c r="DM114" s="249"/>
      <c r="DN114" s="249"/>
      <c r="DO114" s="249"/>
      <c r="DP114" s="249"/>
      <c r="DQ114" s="249"/>
      <c r="DR114" s="249"/>
      <c r="DS114" s="249"/>
      <c r="DT114" s="249"/>
      <c r="DU114" s="249"/>
      <c r="DV114" s="249"/>
      <c r="DW114" s="249"/>
      <c r="DX114" s="249"/>
      <c r="DY114" s="249"/>
      <c r="DZ114" s="249"/>
      <c r="EA114" s="249"/>
      <c r="EB114" s="249"/>
      <c r="EC114" s="249"/>
      <c r="ED114" s="249"/>
      <c r="EE114" s="249"/>
      <c r="EF114" s="249"/>
      <c r="EG114" s="249"/>
      <c r="EH114" s="249"/>
      <c r="EI114" s="249"/>
      <c r="EJ114" s="249"/>
      <c r="EK114" s="249"/>
      <c r="EL114" s="249"/>
      <c r="EM114" s="249"/>
      <c r="EN114" s="249"/>
      <c r="EO114" s="249"/>
      <c r="EP114" s="249"/>
      <c r="EQ114" s="249"/>
      <c r="ER114" s="249"/>
      <c r="ES114" s="249"/>
      <c r="ET114" s="249"/>
      <c r="EU114" s="249"/>
      <c r="EV114" s="249"/>
      <c r="EW114" s="249"/>
      <c r="EX114" s="249"/>
      <c r="EY114" s="249"/>
      <c r="EZ114" s="249"/>
      <c r="FA114" s="249"/>
      <c r="FB114" s="249"/>
      <c r="FC114" s="249"/>
      <c r="FD114" s="249"/>
      <c r="FE114" s="249"/>
      <c r="FF114" s="249"/>
    </row>
    <row r="115" spans="1:162" s="179" customFormat="1" x14ac:dyDescent="0.2">
      <c r="A115" s="174" t="str">
        <f>"Forecasted Prices (To use, pick 'Forecasted' on line "&amp;ROW(8:8)&amp;")"</f>
        <v>Forecasted Prices (To use, pick 'Forecasted' on line 8)</v>
      </c>
      <c r="B115" s="186"/>
      <c r="C115" s="254">
        <v>56.24</v>
      </c>
      <c r="D115" s="254">
        <v>62.73</v>
      </c>
      <c r="E115" s="254">
        <v>68.95</v>
      </c>
      <c r="F115" s="254">
        <v>71.05</v>
      </c>
      <c r="G115" s="254">
        <v>77.680000000000007</v>
      </c>
      <c r="H115" s="254">
        <v>80</v>
      </c>
      <c r="I115" s="254">
        <v>81.8</v>
      </c>
      <c r="J115" s="254">
        <v>84.53</v>
      </c>
      <c r="K115" s="254">
        <v>87.35</v>
      </c>
      <c r="L115" s="254">
        <f>K115*1.0225</f>
        <v>89.315374999999989</v>
      </c>
      <c r="M115" s="254">
        <f t="shared" ref="M115:Z115" si="42">L115*1.0225</f>
        <v>91.324970937499984</v>
      </c>
      <c r="N115" s="254">
        <f t="shared" si="42"/>
        <v>93.379782783593726</v>
      </c>
      <c r="O115" s="254">
        <f t="shared" si="42"/>
        <v>95.480827896224582</v>
      </c>
      <c r="P115" s="254">
        <f t="shared" si="42"/>
        <v>97.629146523889631</v>
      </c>
      <c r="Q115" s="254">
        <f t="shared" si="42"/>
        <v>99.825802320677141</v>
      </c>
      <c r="R115" s="254">
        <f t="shared" si="42"/>
        <v>102.07188287289237</v>
      </c>
      <c r="S115" s="254">
        <f t="shared" si="42"/>
        <v>104.36850023753244</v>
      </c>
      <c r="T115" s="254">
        <f t="shared" si="42"/>
        <v>106.71679149287692</v>
      </c>
      <c r="U115" s="254">
        <f t="shared" si="42"/>
        <v>109.11791930146664</v>
      </c>
      <c r="V115" s="254">
        <f t="shared" si="42"/>
        <v>111.57307248574963</v>
      </c>
      <c r="W115" s="254">
        <f t="shared" si="42"/>
        <v>114.08346661667899</v>
      </c>
      <c r="X115" s="254">
        <f t="shared" si="42"/>
        <v>116.65034461555426</v>
      </c>
      <c r="Y115" s="254">
        <f t="shared" si="42"/>
        <v>119.27497736940423</v>
      </c>
      <c r="Z115" s="254">
        <f t="shared" si="42"/>
        <v>121.95866436021582</v>
      </c>
      <c r="AA115" s="254"/>
      <c r="AB115" s="254"/>
      <c r="AC115" s="254"/>
      <c r="AD115" s="254"/>
      <c r="AE115" s="254"/>
      <c r="AF115" s="254"/>
      <c r="AG115" s="254"/>
      <c r="AH115" s="254"/>
      <c r="AI115" s="254"/>
      <c r="AJ115" s="254"/>
    </row>
    <row r="116" spans="1:162" s="179" customFormat="1" x14ac:dyDescent="0.2">
      <c r="A116" s="174" t="str">
        <f>"Forecasted Production (To use, pick 'Forecasted' on line "&amp;ROW(26:26)&amp;")"</f>
        <v>Forecasted Production (To use, pick 'Forecasted' on line 26)</v>
      </c>
      <c r="B116" s="186"/>
      <c r="C116" s="255">
        <v>0.5048605285827753</v>
      </c>
      <c r="D116" s="255">
        <v>0.49770158660070379</v>
      </c>
      <c r="E116" s="255">
        <v>0.48758446942825645</v>
      </c>
      <c r="F116" s="255">
        <v>0.46047570615626332</v>
      </c>
      <c r="G116" s="255">
        <v>0.42385692616412257</v>
      </c>
      <c r="H116" s="255">
        <v>0.39109103214453245</v>
      </c>
      <c r="I116" s="255">
        <v>0.35979086465446325</v>
      </c>
      <c r="J116" s="255">
        <v>0.32919684206796107</v>
      </c>
      <c r="K116" s="255">
        <v>0.30208759361815918</v>
      </c>
      <c r="L116" s="255">
        <v>0.27804028619088955</v>
      </c>
      <c r="M116" s="255">
        <v>0.25700249435767702</v>
      </c>
      <c r="N116" s="255">
        <v>0.23837795487327157</v>
      </c>
      <c r="O116" s="255">
        <v>0.2215014908183556</v>
      </c>
      <c r="P116" s="255">
        <v>0.20607589503064883</v>
      </c>
      <c r="Q116" s="255">
        <v>0.19243851778034612</v>
      </c>
      <c r="R116" s="255">
        <v>0.18034468536309661</v>
      </c>
      <c r="S116" s="255">
        <v>0.16911257851364422</v>
      </c>
      <c r="T116" s="255">
        <v>0.15861637615908386</v>
      </c>
      <c r="U116" s="255">
        <v>0.14926200574121068</v>
      </c>
      <c r="V116" s="255">
        <v>0.14091029358596918</v>
      </c>
      <c r="W116" s="255">
        <v>0.13301571309333338</v>
      </c>
      <c r="X116" s="255">
        <v>0.1255137242000024</v>
      </c>
      <c r="Y116" s="255">
        <v>0.1188032162364392</v>
      </c>
      <c r="Z116" s="255">
        <v>0.1127935859824189</v>
      </c>
      <c r="AA116" s="255"/>
      <c r="AB116" s="255"/>
      <c r="AC116" s="255"/>
      <c r="AD116" s="255"/>
      <c r="AE116" s="255"/>
      <c r="AF116" s="255"/>
      <c r="AG116" s="255"/>
      <c r="AH116" s="255"/>
      <c r="AI116" s="255"/>
      <c r="AJ116" s="255"/>
    </row>
    <row r="117" spans="1:162" s="179" customFormat="1" x14ac:dyDescent="0.2">
      <c r="B117" s="186"/>
      <c r="C117" s="174">
        <v>56.232079542234906</v>
      </c>
      <c r="D117" s="180">
        <v>62.721269443404978</v>
      </c>
      <c r="E117" s="180">
        <v>68.941414299001579</v>
      </c>
      <c r="F117" s="180">
        <v>71.049393571950944</v>
      </c>
      <c r="G117" s="180">
        <v>77.670592361264937</v>
      </c>
      <c r="H117" s="180">
        <v>79.985719189646133</v>
      </c>
      <c r="I117" s="180">
        <v>81.778913712961298</v>
      </c>
      <c r="J117" s="180">
        <v>84.56</v>
      </c>
      <c r="K117" s="180">
        <v>87.344497565763135</v>
      </c>
      <c r="L117" s="180">
        <v>88.044527053276397</v>
      </c>
      <c r="M117" s="180">
        <v>90.025528911975115</v>
      </c>
      <c r="N117" s="180">
        <v>92.051103312494547</v>
      </c>
      <c r="O117" s="180">
        <v>94.122253137025666</v>
      </c>
      <c r="P117" s="180">
        <v>96.240003832608735</v>
      </c>
      <c r="Q117" s="180">
        <v>98.405403918842424</v>
      </c>
      <c r="R117" s="180">
        <v>100.61952550701638</v>
      </c>
      <c r="S117" s="180">
        <v>102.88346483092424</v>
      </c>
      <c r="T117" s="180">
        <v>105.19834278962003</v>
      </c>
      <c r="U117" s="180">
        <v>107.56530550238648</v>
      </c>
      <c r="V117" s="180">
        <v>109.98552487619017</v>
      </c>
      <c r="W117" s="180">
        <v>112.46019918590444</v>
      </c>
      <c r="X117" s="180">
        <v>114.99055366758729</v>
      </c>
      <c r="Y117" s="180">
        <v>117.57784112510801</v>
      </c>
      <c r="Z117" s="180">
        <v>120.22334255042294</v>
      </c>
      <c r="AA117" s="180"/>
      <c r="AB117" s="180"/>
      <c r="AC117" s="180"/>
      <c r="AD117" s="180"/>
      <c r="AE117" s="180"/>
      <c r="AF117" s="180"/>
      <c r="AG117" s="180"/>
      <c r="AH117" s="180"/>
      <c r="AI117" s="180"/>
      <c r="AJ117" s="180"/>
    </row>
    <row r="118" spans="1:162" s="179" customFormat="1" x14ac:dyDescent="0.2">
      <c r="A118" s="174" t="str">
        <f>"User Input Prices (To use, pick 'User Input' on line "&amp;ROW(8:8)&amp;")"</f>
        <v>User Input Prices (To use, pick 'User Input' on line 8)</v>
      </c>
      <c r="B118" s="186"/>
      <c r="C118" s="254" t="e">
        <f ca="1">C124</f>
        <v>#NAME?</v>
      </c>
      <c r="D118" s="254" t="e">
        <f t="shared" ref="D118:Z118" ca="1" si="43">D124</f>
        <v>#NAME?</v>
      </c>
      <c r="E118" s="254" t="e">
        <f t="shared" ca="1" si="43"/>
        <v>#NAME?</v>
      </c>
      <c r="F118" s="254" t="e">
        <f t="shared" ca="1" si="43"/>
        <v>#NAME?</v>
      </c>
      <c r="G118" s="254" t="e">
        <f t="shared" ca="1" si="43"/>
        <v>#NAME?</v>
      </c>
      <c r="H118" s="254" t="e">
        <f t="shared" ca="1" si="43"/>
        <v>#NAME?</v>
      </c>
      <c r="I118" s="254" t="e">
        <f t="shared" ca="1" si="43"/>
        <v>#NAME?</v>
      </c>
      <c r="J118" s="254" t="e">
        <f t="shared" ca="1" si="43"/>
        <v>#NAME?</v>
      </c>
      <c r="K118" s="254" t="e">
        <f t="shared" ca="1" si="43"/>
        <v>#NAME?</v>
      </c>
      <c r="L118" s="254" t="e">
        <f t="shared" ca="1" si="43"/>
        <v>#NAME?</v>
      </c>
      <c r="M118" s="254" t="e">
        <f t="shared" ca="1" si="43"/>
        <v>#NAME?</v>
      </c>
      <c r="N118" s="254" t="e">
        <f t="shared" ca="1" si="43"/>
        <v>#NAME?</v>
      </c>
      <c r="O118" s="254" t="e">
        <f t="shared" ca="1" si="43"/>
        <v>#NAME?</v>
      </c>
      <c r="P118" s="254" t="e">
        <f t="shared" ca="1" si="43"/>
        <v>#NAME?</v>
      </c>
      <c r="Q118" s="254" t="e">
        <f t="shared" ca="1" si="43"/>
        <v>#NAME?</v>
      </c>
      <c r="R118" s="254" t="e">
        <f t="shared" ca="1" si="43"/>
        <v>#NAME?</v>
      </c>
      <c r="S118" s="254" t="e">
        <f t="shared" ca="1" si="43"/>
        <v>#NAME?</v>
      </c>
      <c r="T118" s="254" t="e">
        <f t="shared" ca="1" si="43"/>
        <v>#NAME?</v>
      </c>
      <c r="U118" s="254" t="e">
        <f t="shared" ca="1" si="43"/>
        <v>#NAME?</v>
      </c>
      <c r="V118" s="254" t="e">
        <f t="shared" ca="1" si="43"/>
        <v>#NAME?</v>
      </c>
      <c r="W118" s="254" t="e">
        <f t="shared" ca="1" si="43"/>
        <v>#NAME?</v>
      </c>
      <c r="X118" s="254" t="e">
        <f t="shared" ca="1" si="43"/>
        <v>#NAME?</v>
      </c>
      <c r="Y118" s="254" t="e">
        <f t="shared" ca="1" si="43"/>
        <v>#NAME?</v>
      </c>
      <c r="Z118" s="254" t="e">
        <f t="shared" ca="1" si="43"/>
        <v>#NAME?</v>
      </c>
      <c r="AA118" s="253"/>
      <c r="AB118" s="253"/>
      <c r="AC118" s="253"/>
      <c r="AD118" s="253"/>
      <c r="AE118" s="253"/>
      <c r="AF118" s="253"/>
      <c r="AG118" s="253"/>
      <c r="AH118" s="253"/>
    </row>
    <row r="119" spans="1:162" s="179" customFormat="1" x14ac:dyDescent="0.2">
      <c r="A119" s="174" t="str">
        <f>"User Input Production (To use, pick 'User Input' on line "&amp;ROW(26:26)&amp;")"</f>
        <v>User Input Production (To use, pick 'User Input' on line 26)</v>
      </c>
      <c r="B119" s="186"/>
      <c r="C119" s="180">
        <f>INDEX(Assumptions!$F$69:$F$92,'Petroleum Model'!C$4-2016)</f>
        <v>0.5048605285827753</v>
      </c>
      <c r="D119" s="180">
        <f>INDEX(Assumptions!$F$69:$F$92,'Petroleum Model'!D$4-2016)</f>
        <v>0.49770158660070379</v>
      </c>
      <c r="E119" s="180">
        <f>INDEX(Assumptions!$F$69:$F$92,'Petroleum Model'!E$4-2016)</f>
        <v>0.48758446942825645</v>
      </c>
      <c r="F119" s="180">
        <f>INDEX(Assumptions!$F$69:$F$92,'Petroleum Model'!F$4-2016)</f>
        <v>0.46047570615626332</v>
      </c>
      <c r="G119" s="180">
        <f>INDEX(Assumptions!$F$69:$F$92,'Petroleum Model'!G$4-2016)</f>
        <v>0.42385692616412257</v>
      </c>
      <c r="H119" s="180">
        <f>INDEX(Assumptions!$F$69:$F$92,'Petroleum Model'!H$4-2016)</f>
        <v>0.39109103214453245</v>
      </c>
      <c r="I119" s="180">
        <f>INDEX(Assumptions!$F$69:$F$92,'Petroleum Model'!I$4-2016)</f>
        <v>0.35979086465446325</v>
      </c>
      <c r="J119" s="180">
        <f>INDEX(Assumptions!$F$69:$F$92,'Petroleum Model'!J$4-2016)</f>
        <v>0.32919684206796107</v>
      </c>
      <c r="K119" s="180">
        <f>INDEX(Assumptions!$F$69:$F$92,'Petroleum Model'!K$4-2016)</f>
        <v>0.30208759361815918</v>
      </c>
      <c r="L119" s="180">
        <f>INDEX(Assumptions!$F$69:$F$92,'Petroleum Model'!L$4-2016)</f>
        <v>0.27804028619088955</v>
      </c>
      <c r="M119" s="180">
        <f>INDEX(Assumptions!$F$69:$F$92,'Petroleum Model'!M$4-2016)</f>
        <v>0.25700249435767702</v>
      </c>
      <c r="N119" s="180">
        <f>INDEX(Assumptions!$F$69:$F$92,'Petroleum Model'!N$4-2016)</f>
        <v>0.23837795487327157</v>
      </c>
      <c r="O119" s="180">
        <f>INDEX(Assumptions!$F$69:$F$92,'Petroleum Model'!O$4-2016)</f>
        <v>0.2215014908183556</v>
      </c>
      <c r="P119" s="180">
        <f>INDEX(Assumptions!$F$69:$F$92,'Petroleum Model'!P$4-2016)</f>
        <v>0.20607589503064883</v>
      </c>
      <c r="Q119" s="180">
        <f>INDEX(Assumptions!$F$69:$F$92,'Petroleum Model'!Q$4-2016)</f>
        <v>0.19243851778034612</v>
      </c>
      <c r="R119" s="180">
        <f>INDEX(Assumptions!$F$69:$F$92,'Petroleum Model'!R$4-2016)</f>
        <v>0.18034468536309661</v>
      </c>
      <c r="S119" s="180">
        <f>INDEX(Assumptions!$F$69:$F$92,'Petroleum Model'!S$4-2016)</f>
        <v>0.16911257851364422</v>
      </c>
      <c r="T119" s="180">
        <f>INDEX(Assumptions!$F$69:$F$92,'Petroleum Model'!T$4-2016)</f>
        <v>0.15861637615908386</v>
      </c>
      <c r="U119" s="180">
        <f>INDEX(Assumptions!$F$69:$F$92,'Petroleum Model'!U$4-2016)</f>
        <v>0.14926200574121068</v>
      </c>
      <c r="V119" s="180">
        <f>INDEX(Assumptions!$F$69:$F$92,'Petroleum Model'!V$4-2016)</f>
        <v>0.14091029358596918</v>
      </c>
      <c r="W119" s="180">
        <f>INDEX(Assumptions!$F$69:$F$92,'Petroleum Model'!W$4-2016)</f>
        <v>0.13301571309333338</v>
      </c>
      <c r="X119" s="180">
        <f>INDEX(Assumptions!$F$69:$F$92,'Petroleum Model'!X$4-2016)</f>
        <v>0.1255137242000024</v>
      </c>
      <c r="Y119" s="180">
        <f>INDEX(Assumptions!$F$69:$F$92,'Petroleum Model'!Y$4-2016)</f>
        <v>0.1188032162364392</v>
      </c>
      <c r="Z119" s="180">
        <f>INDEX(Assumptions!$F$69:$F$92,'Petroleum Model'!Z$4-2016)</f>
        <v>0.1127935859824189</v>
      </c>
      <c r="AA119" s="180"/>
      <c r="AB119" s="180"/>
      <c r="AC119" s="180"/>
      <c r="AD119" s="180"/>
      <c r="AE119" s="180"/>
      <c r="AF119" s="180"/>
      <c r="AG119" s="180"/>
      <c r="AH119" s="180"/>
    </row>
    <row r="120" spans="1:162" s="149" customFormat="1" x14ac:dyDescent="0.2">
      <c r="A120" s="117"/>
      <c r="B120" s="149" t="s">
        <v>222</v>
      </c>
      <c r="C120" s="169"/>
      <c r="AC120" s="86"/>
      <c r="AD120" s="86"/>
      <c r="AE120" s="86"/>
      <c r="AF120" s="86"/>
      <c r="AG120" s="86"/>
      <c r="AH120" s="86"/>
    </row>
    <row r="121" spans="1:162" s="149" customFormat="1" x14ac:dyDescent="0.2">
      <c r="A121" s="117"/>
      <c r="B121" s="113" t="s">
        <v>78</v>
      </c>
      <c r="C121" s="113">
        <f>INDEX(Assumptions!$C$69:$C$92,'Petroleum Model'!C$4-2016)</f>
        <v>86.890818228076398</v>
      </c>
      <c r="D121" s="113">
        <f>INDEX(Assumptions!$C$69:$C$92,'Petroleum Model'!D$4-2016)</f>
        <v>96.174740758354261</v>
      </c>
      <c r="E121" s="113">
        <f>INDEX(Assumptions!$C$69:$C$92,'Petroleum Model'!E$4-2016)</f>
        <v>106.87796532054027</v>
      </c>
      <c r="F121" s="113">
        <f>INDEX(Assumptions!$C$69:$C$92,'Petroleum Model'!F$4-2016)</f>
        <v>109.30370369181585</v>
      </c>
      <c r="G121" s="113">
        <f>INDEX(Assumptions!$C$69:$C$92,'Petroleum Model'!G$4-2016)</f>
        <v>122.92370557652987</v>
      </c>
      <c r="H121" s="113">
        <f>INDEX(Assumptions!$C$69:$C$92,'Petroleum Model'!H$4-2016)</f>
        <v>135.39867637979546</v>
      </c>
      <c r="I121" s="113">
        <f>INDEX(Assumptions!$C$69:$C$92,'Petroleum Model'!I$4-2016)</f>
        <v>140.17642424430389</v>
      </c>
      <c r="J121" s="113">
        <f>INDEX(Assumptions!$C$69:$C$92,'Petroleum Model'!J$4-2016)</f>
        <v>143.36435328248257</v>
      </c>
      <c r="K121" s="113">
        <f>INDEX(Assumptions!$C$69:$C$92,'Petroleum Model'!K$4-2016)</f>
        <v>154.50512655251001</v>
      </c>
      <c r="L121" s="113">
        <f>INDEX(Assumptions!$C$69:$C$92,'Petroleum Model'!L$4-2016)</f>
        <v>162.35105951211358</v>
      </c>
      <c r="M121" s="113">
        <f>INDEX(Assumptions!$C$69:$C$92,'Petroleum Model'!M$4-2016)</f>
        <v>166.00395835113613</v>
      </c>
      <c r="N121" s="113">
        <f>INDEX(Assumptions!$C$69:$C$92,'Petroleum Model'!N$4-2016)</f>
        <v>169.73904741403669</v>
      </c>
      <c r="O121" s="113">
        <f>INDEX(Assumptions!$C$69:$C$92,'Petroleum Model'!O$4-2016)</f>
        <v>173.5581759808525</v>
      </c>
      <c r="P121" s="113">
        <f>INDEX(Assumptions!$C$69:$C$92,'Petroleum Model'!P$4-2016)</f>
        <v>177.46323494042167</v>
      </c>
      <c r="Q121" s="113">
        <f>INDEX(Assumptions!$C$69:$C$92,'Petroleum Model'!Q$4-2016)</f>
        <v>181.45615772658115</v>
      </c>
      <c r="R121" s="113">
        <f>INDEX(Assumptions!$C$69:$C$92,'Petroleum Model'!R$4-2016)</f>
        <v>185.53892127542923</v>
      </c>
      <c r="S121" s="113">
        <f>INDEX(Assumptions!$C$69:$C$92,'Petroleum Model'!S$4-2016)</f>
        <v>189.71354700412638</v>
      </c>
      <c r="T121" s="113">
        <f>INDEX(Assumptions!$C$69:$C$92,'Petroleum Model'!T$4-2016)</f>
        <v>193.98210181171922</v>
      </c>
      <c r="U121" s="113">
        <f>INDEX(Assumptions!$C$69:$C$92,'Petroleum Model'!U$4-2016)</f>
        <v>198.34669910248289</v>
      </c>
      <c r="V121" s="113">
        <f>INDEX(Assumptions!$C$69:$C$92,'Petroleum Model'!V$4-2016)</f>
        <v>202.80949983228874</v>
      </c>
      <c r="W121" s="113">
        <f>INDEX(Assumptions!$C$69:$C$92,'Petroleum Model'!W$4-2016)</f>
        <v>207.37271357851523</v>
      </c>
      <c r="X121" s="113">
        <f>INDEX(Assumptions!$C$69:$C$92,'Petroleum Model'!X$4-2016)</f>
        <v>212.03859963403181</v>
      </c>
      <c r="Y121" s="113">
        <f>INDEX(Assumptions!$C$69:$C$92,'Petroleum Model'!Y$4-2016)</f>
        <v>216.80946812579751</v>
      </c>
      <c r="Z121" s="113">
        <f>INDEX(Assumptions!$C$69:$C$92,'Petroleum Model'!Z$4-2016)</f>
        <v>221.68768115862795</v>
      </c>
      <c r="AC121" s="86"/>
      <c r="AD121" s="86"/>
      <c r="AE121" s="86"/>
      <c r="AF121" s="86"/>
      <c r="AG121" s="86"/>
      <c r="AH121" s="86"/>
    </row>
    <row r="122" spans="1:162" s="149" customFormat="1" x14ac:dyDescent="0.2">
      <c r="A122" s="117"/>
      <c r="B122" s="113" t="s">
        <v>223</v>
      </c>
      <c r="C122" s="113">
        <f>INDEX(Assumptions!$D$69:$D$92,'Petroleum Model'!C$4-2016)</f>
        <v>56.232079542234906</v>
      </c>
      <c r="D122" s="113">
        <f>INDEX(Assumptions!$D$69:$D$92,'Petroleum Model'!D$4-2016)</f>
        <v>62.721269443404978</v>
      </c>
      <c r="E122" s="113">
        <f>INDEX(Assumptions!$D$69:$D$92,'Petroleum Model'!E$4-2016)</f>
        <v>68.941414299001579</v>
      </c>
      <c r="F122" s="113">
        <f>INDEX(Assumptions!$D$69:$D$92,'Petroleum Model'!F$4-2016)</f>
        <v>71.049393571950944</v>
      </c>
      <c r="G122" s="113">
        <f>INDEX(Assumptions!$D$69:$D$92,'Petroleum Model'!G$4-2016)</f>
        <v>77.670592361264937</v>
      </c>
      <c r="H122" s="113">
        <f>INDEX(Assumptions!$D$69:$D$92,'Petroleum Model'!H$4-2016)</f>
        <v>79.985719189646133</v>
      </c>
      <c r="I122" s="113">
        <f>INDEX(Assumptions!$D$69:$D$92,'Petroleum Model'!I$4-2016)</f>
        <v>81.778913712961298</v>
      </c>
      <c r="J122" s="113">
        <f>INDEX(Assumptions!$D$69:$D$92,'Petroleum Model'!J$4-2016)</f>
        <v>84.56</v>
      </c>
      <c r="K122" s="113">
        <f>INDEX(Assumptions!$D$69:$D$92,'Petroleum Model'!K$4-2016)</f>
        <v>87.344497565763135</v>
      </c>
      <c r="L122" s="113">
        <f>INDEX(Assumptions!$D$69:$D$92,'Petroleum Model'!L$4-2016)</f>
        <v>88.044527053276397</v>
      </c>
      <c r="M122" s="113">
        <f>INDEX(Assumptions!$D$69:$D$92,'Petroleum Model'!M$4-2016)</f>
        <v>90.025528911975115</v>
      </c>
      <c r="N122" s="113">
        <f>INDEX(Assumptions!$D$69:$D$92,'Petroleum Model'!N$4-2016)</f>
        <v>92.051103312494547</v>
      </c>
      <c r="O122" s="113">
        <f>INDEX(Assumptions!$D$69:$D$92,'Petroleum Model'!O$4-2016)</f>
        <v>94.122253137025666</v>
      </c>
      <c r="P122" s="113">
        <f>INDEX(Assumptions!$D$69:$D$92,'Petroleum Model'!P$4-2016)</f>
        <v>96.240003832608735</v>
      </c>
      <c r="Q122" s="113">
        <f>INDEX(Assumptions!$D$69:$D$92,'Petroleum Model'!Q$4-2016)</f>
        <v>98.405403918842424</v>
      </c>
      <c r="R122" s="113">
        <f>INDEX(Assumptions!$D$69:$D$92,'Petroleum Model'!R$4-2016)</f>
        <v>100.61952550701638</v>
      </c>
      <c r="S122" s="113">
        <f>INDEX(Assumptions!$D$69:$D$92,'Petroleum Model'!S$4-2016)</f>
        <v>102.88346483092424</v>
      </c>
      <c r="T122" s="113">
        <f>INDEX(Assumptions!$D$69:$D$92,'Petroleum Model'!T$4-2016)</f>
        <v>105.19834278962003</v>
      </c>
      <c r="U122" s="113">
        <f>INDEX(Assumptions!$D$69:$D$92,'Petroleum Model'!U$4-2016)</f>
        <v>107.56530550238648</v>
      </c>
      <c r="V122" s="113">
        <f>INDEX(Assumptions!$D$69:$D$92,'Petroleum Model'!V$4-2016)</f>
        <v>109.98552487619017</v>
      </c>
      <c r="W122" s="113">
        <f>INDEX(Assumptions!$D$69:$D$92,'Petroleum Model'!W$4-2016)</f>
        <v>112.46019918590444</v>
      </c>
      <c r="X122" s="113">
        <f>INDEX(Assumptions!$D$69:$D$92,'Petroleum Model'!X$4-2016)</f>
        <v>114.99055366758729</v>
      </c>
      <c r="Y122" s="113">
        <f>INDEX(Assumptions!$D$69:$D$92,'Petroleum Model'!Y$4-2016)</f>
        <v>117.57784112510801</v>
      </c>
      <c r="Z122" s="113">
        <f>INDEX(Assumptions!$D$69:$D$92,'Petroleum Model'!Z$4-2016)</f>
        <v>120.22334255042294</v>
      </c>
      <c r="AC122" s="86"/>
      <c r="AD122" s="86"/>
      <c r="AE122" s="86"/>
      <c r="AF122" s="86"/>
      <c r="AG122" s="86"/>
      <c r="AH122" s="86"/>
    </row>
    <row r="123" spans="1:162" s="149" customFormat="1" x14ac:dyDescent="0.2">
      <c r="A123" s="117"/>
      <c r="B123" s="113" t="s">
        <v>80</v>
      </c>
      <c r="C123" s="113">
        <f>INDEX(Assumptions!$E$69:$E$92,'Petroleum Model'!C$4-2016)</f>
        <v>30.668133936616826</v>
      </c>
      <c r="D123" s="113">
        <f>INDEX(Assumptions!$E$69:$E$92,'Petroleum Model'!D$4-2016)</f>
        <v>36.056807770554506</v>
      </c>
      <c r="E123" s="113">
        <f>INDEX(Assumptions!$E$69:$E$92,'Petroleum Model'!E$4-2016)</f>
        <v>36.326168409760854</v>
      </c>
      <c r="F123" s="113">
        <f>INDEX(Assumptions!$E$69:$E$92,'Petroleum Model'!F$4-2016)</f>
        <v>39.876762381917487</v>
      </c>
      <c r="G123" s="113">
        <f>INDEX(Assumptions!$E$69:$E$92,'Petroleum Model'!G$4-2016)</f>
        <v>43.020387819125062</v>
      </c>
      <c r="H123" s="113">
        <f>INDEX(Assumptions!$E$69:$E$92,'Petroleum Model'!H$4-2016)</f>
        <v>39.996481791769689</v>
      </c>
      <c r="I123" s="113">
        <f>INDEX(Assumptions!$E$69:$E$92,'Petroleum Model'!I$4-2016)</f>
        <v>41.473017851771935</v>
      </c>
      <c r="J123" s="113">
        <f>INDEX(Assumptions!$E$69:$E$92,'Petroleum Model'!J$4-2016)</f>
        <v>41.786671039087082</v>
      </c>
      <c r="K123" s="113">
        <f>INDEX(Assumptions!$E$69:$E$92,'Petroleum Model'!K$4-2016)</f>
        <v>44.587198734172247</v>
      </c>
      <c r="L123" s="113">
        <f>INDEX(Assumptions!$E$69:$E$92,'Petroleum Model'!L$4-2016)</f>
        <v>43.699070231463132</v>
      </c>
      <c r="M123" s="113">
        <f>INDEX(Assumptions!$E$69:$E$92,'Petroleum Model'!M$4-2016)</f>
        <v>44.682299311671052</v>
      </c>
      <c r="N123" s="113">
        <f>INDEX(Assumptions!$E$69:$E$92,'Petroleum Model'!N$4-2016)</f>
        <v>45.687651046183646</v>
      </c>
      <c r="O123" s="113">
        <f>INDEX(Assumptions!$E$69:$E$92,'Petroleum Model'!O$4-2016)</f>
        <v>46.715623194722774</v>
      </c>
      <c r="P123" s="113">
        <f>INDEX(Assumptions!$E$69:$E$92,'Petroleum Model'!P$4-2016)</f>
        <v>47.766724716604031</v>
      </c>
      <c r="Q123" s="113">
        <f>INDEX(Assumptions!$E$69:$E$92,'Petroleum Model'!Q$4-2016)</f>
        <v>48.841476022727619</v>
      </c>
      <c r="R123" s="113">
        <f>INDEX(Assumptions!$E$69:$E$92,'Petroleum Model'!R$4-2016)</f>
        <v>49.940409233238988</v>
      </c>
      <c r="S123" s="113">
        <f>INDEX(Assumptions!$E$69:$E$92,'Petroleum Model'!S$4-2016)</f>
        <v>51.064068440986865</v>
      </c>
      <c r="T123" s="113">
        <f>INDEX(Assumptions!$E$69:$E$92,'Petroleum Model'!T$4-2016)</f>
        <v>52.213009980909071</v>
      </c>
      <c r="U123" s="113">
        <f>INDEX(Assumptions!$E$69:$E$92,'Petroleum Model'!U$4-2016)</f>
        <v>53.387802705479523</v>
      </c>
      <c r="V123" s="113">
        <f>INDEX(Assumptions!$E$69:$E$92,'Petroleum Model'!V$4-2016)</f>
        <v>54.589028266352813</v>
      </c>
      <c r="W123" s="113">
        <f>INDEX(Assumptions!$E$69:$E$92,'Petroleum Model'!W$4-2016)</f>
        <v>55.817281402345749</v>
      </c>
      <c r="X123" s="113">
        <f>INDEX(Assumptions!$E$69:$E$92,'Petroleum Model'!X$4-2016)</f>
        <v>57.073170233898523</v>
      </c>
      <c r="Y123" s="113">
        <f>INDEX(Assumptions!$E$69:$E$92,'Petroleum Model'!Y$4-2016)</f>
        <v>58.357316564161238</v>
      </c>
      <c r="Z123" s="113">
        <f>INDEX(Assumptions!$E$69:$E$92,'Petroleum Model'!Z$4-2016)</f>
        <v>59.67035618685486</v>
      </c>
      <c r="AC123" s="86"/>
      <c r="AD123" s="86"/>
      <c r="AE123" s="86"/>
      <c r="AF123" s="86"/>
      <c r="AG123" s="86"/>
      <c r="AH123" s="86"/>
    </row>
    <row r="124" spans="1:162" s="149" customFormat="1" x14ac:dyDescent="0.2">
      <c r="A124" s="117"/>
      <c r="B124" s="86" t="s">
        <v>224</v>
      </c>
      <c r="C124" s="86" t="e">
        <f ca="1">_xll.RiskPertAlt(10%,C123,50%,C122,90%,C121,_xll.RiskStatic(C122))</f>
        <v>#NAME?</v>
      </c>
      <c r="D124" s="86" t="e">
        <f ca="1">_xll.RiskPertAlt(10%,D123,50%,D122,90%,D121,_xll.RiskStatic(D122))</f>
        <v>#NAME?</v>
      </c>
      <c r="E124" s="86" t="e">
        <f ca="1">_xll.RiskPertAlt(10%,E123,50%,E122,90%,E121,_xll.RiskStatic(E122))</f>
        <v>#NAME?</v>
      </c>
      <c r="F124" s="86" t="e">
        <f ca="1">_xll.RiskPertAlt(10%,F123,50%,F122,90%,F121,_xll.RiskStatic(F122))</f>
        <v>#NAME?</v>
      </c>
      <c r="G124" s="86" t="e">
        <f ca="1">_xll.RiskPertAlt(10%,G123,50%,G122,90%,G121,_xll.RiskStatic(G122))</f>
        <v>#NAME?</v>
      </c>
      <c r="H124" s="86" t="e">
        <f ca="1">_xll.RiskPertAlt(10%,H123,50%,H122,90%,H121,_xll.RiskStatic(H122))</f>
        <v>#NAME?</v>
      </c>
      <c r="I124" s="86" t="e">
        <f ca="1">_xll.RiskPertAlt(10%,I123,50%,I122,90%,I121,_xll.RiskStatic(I122))</f>
        <v>#NAME?</v>
      </c>
      <c r="J124" s="86" t="e">
        <f ca="1">_xll.RiskPertAlt(10%,J123,50%,J122,90%,J121,_xll.RiskStatic(J122))</f>
        <v>#NAME?</v>
      </c>
      <c r="K124" s="86" t="e">
        <f ca="1">_xll.RiskPertAlt(10%,K123,50%,K122,90%,K121,_xll.RiskStatic(K122))</f>
        <v>#NAME?</v>
      </c>
      <c r="L124" s="86" t="e">
        <f ca="1">_xll.RiskPertAlt(10%,L123,50%,L122,90%,L121,_xll.RiskStatic(L122))</f>
        <v>#NAME?</v>
      </c>
      <c r="M124" s="86" t="e">
        <f ca="1">_xll.RiskPertAlt(10%,M123,50%,M122,90%,M121,_xll.RiskStatic(M122))</f>
        <v>#NAME?</v>
      </c>
      <c r="N124" s="86" t="e">
        <f ca="1">_xll.RiskPertAlt(10%,N123,50%,N122,90%,N121,_xll.RiskStatic(N122))</f>
        <v>#NAME?</v>
      </c>
      <c r="O124" s="86" t="e">
        <f ca="1">_xll.RiskPertAlt(10%,O123,50%,O122,90%,O121,_xll.RiskStatic(O122))</f>
        <v>#NAME?</v>
      </c>
      <c r="P124" s="86" t="e">
        <f ca="1">_xll.RiskPertAlt(10%,P123,50%,P122,90%,P121,_xll.RiskStatic(P122))</f>
        <v>#NAME?</v>
      </c>
      <c r="Q124" s="86" t="e">
        <f ca="1">_xll.RiskPertAlt(10%,Q123,50%,Q122,90%,Q121,_xll.RiskStatic(Q122))</f>
        <v>#NAME?</v>
      </c>
      <c r="R124" s="86" t="e">
        <f ca="1">_xll.RiskPertAlt(10%,R123,50%,R122,90%,R121,_xll.RiskStatic(R122))</f>
        <v>#NAME?</v>
      </c>
      <c r="S124" s="86" t="e">
        <f ca="1">_xll.RiskPertAlt(10%,S123,50%,S122,90%,S121,_xll.RiskStatic(S122))</f>
        <v>#NAME?</v>
      </c>
      <c r="T124" s="86" t="e">
        <f ca="1">_xll.RiskPertAlt(10%,T123,50%,T122,90%,T121,_xll.RiskStatic(T122))</f>
        <v>#NAME?</v>
      </c>
      <c r="U124" s="86" t="e">
        <f ca="1">_xll.RiskPertAlt(10%,U123,50%,U122,90%,U121,_xll.RiskStatic(U122))</f>
        <v>#NAME?</v>
      </c>
      <c r="V124" s="86" t="e">
        <f ca="1">_xll.RiskPertAlt(10%,V123,50%,V122,90%,V121,_xll.RiskStatic(V122))</f>
        <v>#NAME?</v>
      </c>
      <c r="W124" s="86" t="e">
        <f ca="1">_xll.RiskPertAlt(10%,W123,50%,W122,90%,W121,_xll.RiskStatic(W122))</f>
        <v>#NAME?</v>
      </c>
      <c r="X124" s="86" t="e">
        <f ca="1">_xll.RiskPertAlt(10%,X123,50%,X122,90%,X121,_xll.RiskStatic(X122))</f>
        <v>#NAME?</v>
      </c>
      <c r="Y124" s="86" t="e">
        <f ca="1">_xll.RiskPertAlt(10%,Y123,50%,Y122,90%,Y121,_xll.RiskStatic(Y122))</f>
        <v>#NAME?</v>
      </c>
      <c r="Z124" s="86" t="e">
        <f ca="1">_xll.RiskPertAlt(10%,Z123,50%,Z122,90%,Z121,_xll.RiskStatic(Z122))</f>
        <v>#NAME?</v>
      </c>
      <c r="AC124" s="86"/>
      <c r="AD124" s="86"/>
      <c r="AE124" s="86"/>
      <c r="AF124" s="86"/>
      <c r="AG124" s="86"/>
      <c r="AH124" s="86"/>
    </row>
    <row r="125" spans="1:162" s="149" customFormat="1" x14ac:dyDescent="0.2">
      <c r="A125" s="117"/>
      <c r="B125" s="169"/>
      <c r="AC125" s="86"/>
      <c r="AD125" s="86"/>
      <c r="AE125" s="86"/>
      <c r="AF125" s="86"/>
      <c r="AG125" s="86"/>
      <c r="AH125" s="86"/>
    </row>
    <row r="126" spans="1:162" s="149" customFormat="1" x14ac:dyDescent="0.2">
      <c r="A126" s="117"/>
      <c r="B126" s="256" t="s">
        <v>223</v>
      </c>
      <c r="C126" s="256" t="e">
        <f ca="1">_xll.RiskPercentile(C134,0.5)</f>
        <v>#NAME?</v>
      </c>
      <c r="D126" s="256" t="e">
        <f ca="1">_xll.RiskPercentile(D134,0.5)</f>
        <v>#NAME?</v>
      </c>
      <c r="E126" s="256" t="e">
        <f ca="1">_xll.RiskPercentile(E134,0.5)</f>
        <v>#NAME?</v>
      </c>
      <c r="F126" s="256" t="e">
        <f ca="1">_xll.RiskPercentile(F134,0.5)</f>
        <v>#NAME?</v>
      </c>
      <c r="G126" s="256" t="e">
        <f ca="1">_xll.RiskPercentile(G134,0.5)</f>
        <v>#NAME?</v>
      </c>
      <c r="H126" s="256" t="e">
        <f ca="1">_xll.RiskPercentile(H134,0.5)</f>
        <v>#NAME?</v>
      </c>
      <c r="I126" s="256" t="e">
        <f ca="1">_xll.RiskPercentile(I134,0.5)</f>
        <v>#NAME?</v>
      </c>
      <c r="J126" s="256" t="e">
        <f ca="1">_xll.RiskPercentile(J134,0.5)</f>
        <v>#NAME?</v>
      </c>
      <c r="K126" s="256" t="e">
        <f ca="1">_xll.RiskPercentile(K134,0.5)</f>
        <v>#NAME?</v>
      </c>
      <c r="L126" s="256" t="e">
        <f ca="1">_xll.RiskPercentile(L134,0.5)</f>
        <v>#NAME?</v>
      </c>
      <c r="M126" s="256" t="e">
        <f ca="1">_xll.RiskPercentile(M134,0.5)</f>
        <v>#NAME?</v>
      </c>
      <c r="N126" s="256" t="e">
        <f ca="1">_xll.RiskPercentile(N134,0.5)</f>
        <v>#NAME?</v>
      </c>
      <c r="O126" s="256" t="e">
        <f ca="1">_xll.RiskPercentile(O134,0.5)</f>
        <v>#NAME?</v>
      </c>
      <c r="P126" s="256" t="e">
        <f ca="1">_xll.RiskPercentile(P134,0.5)</f>
        <v>#NAME?</v>
      </c>
      <c r="Q126" s="256" t="e">
        <f ca="1">_xll.RiskPercentile(Q134,0.5)</f>
        <v>#NAME?</v>
      </c>
      <c r="R126" s="256" t="e">
        <f ca="1">_xll.RiskPercentile(R134,0.5)</f>
        <v>#NAME?</v>
      </c>
      <c r="S126" s="256" t="e">
        <f ca="1">_xll.RiskPercentile(S134,0.5)</f>
        <v>#NAME?</v>
      </c>
      <c r="T126" s="256" t="e">
        <f ca="1">_xll.RiskPercentile(T134,0.5)</f>
        <v>#NAME?</v>
      </c>
      <c r="U126" s="256" t="e">
        <f ca="1">_xll.RiskPercentile(U134,0.5)</f>
        <v>#NAME?</v>
      </c>
      <c r="V126" s="256" t="e">
        <f ca="1">_xll.RiskPercentile(V134,0.5)</f>
        <v>#NAME?</v>
      </c>
      <c r="W126" s="256" t="e">
        <f ca="1">_xll.RiskPercentile(W134,0.5)</f>
        <v>#NAME?</v>
      </c>
      <c r="X126" s="256" t="e">
        <f ca="1">_xll.RiskPercentile(X134,0.5)</f>
        <v>#NAME?</v>
      </c>
      <c r="Y126" s="256" t="e">
        <f ca="1">_xll.RiskPercentile(Y134,0.5)</f>
        <v>#NAME?</v>
      </c>
      <c r="Z126" s="256" t="e">
        <f ca="1">_xll.RiskPercentile(Z134,0.5)</f>
        <v>#NAME?</v>
      </c>
      <c r="AA126" s="256"/>
      <c r="AC126" s="86"/>
      <c r="AD126" s="86"/>
      <c r="AE126" s="86"/>
      <c r="AF126" s="86"/>
      <c r="AG126" s="86"/>
      <c r="AH126" s="86"/>
    </row>
    <row r="127" spans="1:162" s="149" customFormat="1" x14ac:dyDescent="0.2">
      <c r="A127" s="117"/>
      <c r="B127" s="257" t="s">
        <v>225</v>
      </c>
      <c r="C127" s="258" t="e">
        <f ca="1">_xll.RiskMean(C134)</f>
        <v>#NAME?</v>
      </c>
      <c r="D127" s="258" t="e">
        <f ca="1">_xll.RiskMean(D134)</f>
        <v>#NAME?</v>
      </c>
      <c r="E127" s="258" t="e">
        <f ca="1">_xll.RiskMean(E134)</f>
        <v>#NAME?</v>
      </c>
      <c r="F127" s="258" t="e">
        <f ca="1">_xll.RiskMean(F134)</f>
        <v>#NAME?</v>
      </c>
      <c r="G127" s="258" t="e">
        <f ca="1">_xll.RiskMean(G134)</f>
        <v>#NAME?</v>
      </c>
      <c r="H127" s="258" t="e">
        <f ca="1">_xll.RiskMean(H134)</f>
        <v>#NAME?</v>
      </c>
      <c r="I127" s="258" t="e">
        <f ca="1">_xll.RiskMean(I134)</f>
        <v>#NAME?</v>
      </c>
      <c r="J127" s="258" t="e">
        <f ca="1">_xll.RiskMean(J134)</f>
        <v>#NAME?</v>
      </c>
      <c r="K127" s="258" t="e">
        <f ca="1">_xll.RiskMean(K134)</f>
        <v>#NAME?</v>
      </c>
      <c r="L127" s="258" t="e">
        <f ca="1">_xll.RiskMean(L134)</f>
        <v>#NAME?</v>
      </c>
      <c r="M127" s="258" t="e">
        <f ca="1">_xll.RiskMean(M134)</f>
        <v>#NAME?</v>
      </c>
      <c r="N127" s="258" t="e">
        <f ca="1">_xll.RiskMean(N134)</f>
        <v>#NAME?</v>
      </c>
      <c r="O127" s="258" t="e">
        <f ca="1">_xll.RiskMean(O134)</f>
        <v>#NAME?</v>
      </c>
      <c r="P127" s="258" t="e">
        <f ca="1">_xll.RiskMean(P134)</f>
        <v>#NAME?</v>
      </c>
      <c r="Q127" s="258" t="e">
        <f ca="1">_xll.RiskMean(Q134)</f>
        <v>#NAME?</v>
      </c>
      <c r="R127" s="258" t="e">
        <f ca="1">_xll.RiskMean(R134)</f>
        <v>#NAME?</v>
      </c>
      <c r="S127" s="258" t="e">
        <f ca="1">_xll.RiskMean(S134)</f>
        <v>#NAME?</v>
      </c>
      <c r="T127" s="258" t="e">
        <f ca="1">_xll.RiskMean(T134)</f>
        <v>#NAME?</v>
      </c>
      <c r="U127" s="258" t="e">
        <f ca="1">_xll.RiskMean(U134)</f>
        <v>#NAME?</v>
      </c>
      <c r="V127" s="258" t="e">
        <f ca="1">_xll.RiskMean(V134)</f>
        <v>#NAME?</v>
      </c>
      <c r="W127" s="258" t="e">
        <f ca="1">_xll.RiskMean(W134)</f>
        <v>#NAME?</v>
      </c>
      <c r="X127" s="258" t="e">
        <f ca="1">_xll.RiskMean(X134)</f>
        <v>#NAME?</v>
      </c>
      <c r="Y127" s="258" t="e">
        <f ca="1">_xll.RiskMean(Y134)</f>
        <v>#NAME?</v>
      </c>
      <c r="Z127" s="258" t="e">
        <f ca="1">_xll.RiskMean(Z134)</f>
        <v>#NAME?</v>
      </c>
      <c r="AA127" s="258"/>
      <c r="AC127" s="86"/>
      <c r="AD127" s="86"/>
      <c r="AE127" s="86"/>
      <c r="AF127" s="86"/>
      <c r="AG127" s="86"/>
      <c r="AH127" s="86"/>
    </row>
    <row r="128" spans="1:162" s="149" customFormat="1" x14ac:dyDescent="0.2">
      <c r="A128" s="117"/>
      <c r="B128" s="257" t="s">
        <v>226</v>
      </c>
      <c r="C128" s="258" t="e">
        <f ca="1">_xll.RiskPercentile(C134,0.9)</f>
        <v>#NAME?</v>
      </c>
      <c r="D128" s="258" t="e">
        <f ca="1">_xll.RiskPercentile(D134,0.9)</f>
        <v>#NAME?</v>
      </c>
      <c r="E128" s="258" t="e">
        <f ca="1">_xll.RiskPercentile(E134,0.9)</f>
        <v>#NAME?</v>
      </c>
      <c r="F128" s="258" t="e">
        <f ca="1">_xll.RiskPercentile(F134,0.9)</f>
        <v>#NAME?</v>
      </c>
      <c r="G128" s="258" t="e">
        <f ca="1">_xll.RiskPercentile(G134,0.9)</f>
        <v>#NAME?</v>
      </c>
      <c r="H128" s="258" t="e">
        <f ca="1">_xll.RiskPercentile(H134,0.9)</f>
        <v>#NAME?</v>
      </c>
      <c r="I128" s="258" t="e">
        <f ca="1">_xll.RiskPercentile(I134,0.9)</f>
        <v>#NAME?</v>
      </c>
      <c r="J128" s="258" t="e">
        <f ca="1">_xll.RiskPercentile(J134,0.9)</f>
        <v>#NAME?</v>
      </c>
      <c r="K128" s="258" t="e">
        <f ca="1">_xll.RiskPercentile(K134,0.9)</f>
        <v>#NAME?</v>
      </c>
      <c r="L128" s="258" t="e">
        <f ca="1">_xll.RiskPercentile(L134,0.9)</f>
        <v>#NAME?</v>
      </c>
      <c r="M128" s="258" t="e">
        <f ca="1">_xll.RiskPercentile(M134,0.9)</f>
        <v>#NAME?</v>
      </c>
      <c r="N128" s="258" t="e">
        <f ca="1">_xll.RiskPercentile(N134,0.9)</f>
        <v>#NAME?</v>
      </c>
      <c r="O128" s="258" t="e">
        <f ca="1">_xll.RiskPercentile(O134,0.9)</f>
        <v>#NAME?</v>
      </c>
      <c r="P128" s="258" t="e">
        <f ca="1">_xll.RiskPercentile(P134,0.9)</f>
        <v>#NAME?</v>
      </c>
      <c r="Q128" s="258" t="e">
        <f ca="1">_xll.RiskPercentile(Q134,0.9)</f>
        <v>#NAME?</v>
      </c>
      <c r="R128" s="258" t="e">
        <f ca="1">_xll.RiskPercentile(R134,0.9)</f>
        <v>#NAME?</v>
      </c>
      <c r="S128" s="258" t="e">
        <f ca="1">_xll.RiskPercentile(S134,0.9)</f>
        <v>#NAME?</v>
      </c>
      <c r="T128" s="258" t="e">
        <f ca="1">_xll.RiskPercentile(T134,0.9)</f>
        <v>#NAME?</v>
      </c>
      <c r="U128" s="258" t="e">
        <f ca="1">_xll.RiskPercentile(U134,0.9)</f>
        <v>#NAME?</v>
      </c>
      <c r="V128" s="258" t="e">
        <f ca="1">_xll.RiskPercentile(V134,0.9)</f>
        <v>#NAME?</v>
      </c>
      <c r="W128" s="258" t="e">
        <f ca="1">_xll.RiskPercentile(W134,0.9)</f>
        <v>#NAME?</v>
      </c>
      <c r="X128" s="258" t="e">
        <f ca="1">_xll.RiskPercentile(X134,0.9)</f>
        <v>#NAME?</v>
      </c>
      <c r="Y128" s="258" t="e">
        <f ca="1">_xll.RiskPercentile(Y134,0.9)</f>
        <v>#NAME?</v>
      </c>
      <c r="Z128" s="258" t="e">
        <f ca="1">_xll.RiskPercentile(Z134,0.9)</f>
        <v>#NAME?</v>
      </c>
      <c r="AA128" s="258"/>
      <c r="AC128" s="86"/>
      <c r="AD128" s="86"/>
      <c r="AE128" s="86"/>
      <c r="AF128" s="86"/>
      <c r="AG128" s="86"/>
      <c r="AH128" s="86"/>
    </row>
    <row r="129" spans="1:34" s="149" customFormat="1" x14ac:dyDescent="0.2">
      <c r="A129" s="117"/>
      <c r="B129" s="257" t="s">
        <v>227</v>
      </c>
      <c r="C129" s="258" t="e">
        <f ca="1">_xll.RiskPercentile(C134,0.1)</f>
        <v>#NAME?</v>
      </c>
      <c r="D129" s="258" t="e">
        <f ca="1">_xll.RiskPercentile(D134,0.1)</f>
        <v>#NAME?</v>
      </c>
      <c r="E129" s="258" t="e">
        <f ca="1">_xll.RiskPercentile(E134,0.1)</f>
        <v>#NAME?</v>
      </c>
      <c r="F129" s="258" t="e">
        <f ca="1">_xll.RiskPercentile(F134,0.1)</f>
        <v>#NAME?</v>
      </c>
      <c r="G129" s="258" t="e">
        <f ca="1">_xll.RiskPercentile(G134,0.1)</f>
        <v>#NAME?</v>
      </c>
      <c r="H129" s="258" t="e">
        <f ca="1">_xll.RiskPercentile(H134,0.1)</f>
        <v>#NAME?</v>
      </c>
      <c r="I129" s="258" t="e">
        <f ca="1">_xll.RiskPercentile(I134,0.1)</f>
        <v>#NAME?</v>
      </c>
      <c r="J129" s="258" t="e">
        <f ca="1">_xll.RiskPercentile(J134,0.1)</f>
        <v>#NAME?</v>
      </c>
      <c r="K129" s="258" t="e">
        <f ca="1">_xll.RiskPercentile(K134,0.1)</f>
        <v>#NAME?</v>
      </c>
      <c r="L129" s="258" t="e">
        <f ca="1">_xll.RiskPercentile(L134,0.1)</f>
        <v>#NAME?</v>
      </c>
      <c r="M129" s="258" t="e">
        <f ca="1">_xll.RiskPercentile(M134,0.1)</f>
        <v>#NAME?</v>
      </c>
      <c r="N129" s="258" t="e">
        <f ca="1">_xll.RiskPercentile(N134,0.1)</f>
        <v>#NAME?</v>
      </c>
      <c r="O129" s="258" t="e">
        <f ca="1">_xll.RiskPercentile(O134,0.1)</f>
        <v>#NAME?</v>
      </c>
      <c r="P129" s="258" t="e">
        <f ca="1">_xll.RiskPercentile(P134,0.1)</f>
        <v>#NAME?</v>
      </c>
      <c r="Q129" s="258" t="e">
        <f ca="1">_xll.RiskPercentile(Q134,0.1)</f>
        <v>#NAME?</v>
      </c>
      <c r="R129" s="258" t="e">
        <f ca="1">_xll.RiskPercentile(R134,0.1)</f>
        <v>#NAME?</v>
      </c>
      <c r="S129" s="258" t="e">
        <f ca="1">_xll.RiskPercentile(S134,0.1)</f>
        <v>#NAME?</v>
      </c>
      <c r="T129" s="258" t="e">
        <f ca="1">_xll.RiskPercentile(T134,0.1)</f>
        <v>#NAME?</v>
      </c>
      <c r="U129" s="258" t="e">
        <f ca="1">_xll.RiskPercentile(U134,0.1)</f>
        <v>#NAME?</v>
      </c>
      <c r="V129" s="258" t="e">
        <f ca="1">_xll.RiskPercentile(V134,0.1)</f>
        <v>#NAME?</v>
      </c>
      <c r="W129" s="258" t="e">
        <f ca="1">_xll.RiskPercentile(W134,0.1)</f>
        <v>#NAME?</v>
      </c>
      <c r="X129" s="258" t="e">
        <f ca="1">_xll.RiskPercentile(X134,0.1)</f>
        <v>#NAME?</v>
      </c>
      <c r="Y129" s="258" t="e">
        <f ca="1">_xll.RiskPercentile(Y134,0.1)</f>
        <v>#NAME?</v>
      </c>
      <c r="Z129" s="258" t="e">
        <f ca="1">_xll.RiskPercentile(Z134,0.1)</f>
        <v>#NAME?</v>
      </c>
      <c r="AA129" s="258"/>
      <c r="AC129" s="86"/>
      <c r="AD129" s="86"/>
      <c r="AE129" s="86"/>
      <c r="AF129" s="86"/>
      <c r="AG129" s="86"/>
      <c r="AH129" s="86"/>
    </row>
    <row r="130" spans="1:34" x14ac:dyDescent="0.2">
      <c r="B130" s="257"/>
      <c r="C130" s="258"/>
      <c r="D130" s="258"/>
      <c r="E130" s="258"/>
      <c r="F130" s="258"/>
      <c r="G130" s="258"/>
      <c r="H130" s="258"/>
      <c r="I130" s="258"/>
      <c r="J130" s="258"/>
      <c r="K130" s="258"/>
      <c r="L130" s="258"/>
      <c r="M130" s="258"/>
      <c r="N130" s="258"/>
      <c r="O130" s="258"/>
      <c r="P130" s="258"/>
      <c r="Q130" s="258"/>
      <c r="R130" s="258"/>
      <c r="S130" s="258"/>
      <c r="T130" s="258"/>
      <c r="U130" s="258"/>
      <c r="V130" s="258"/>
      <c r="W130" s="258"/>
      <c r="X130" s="258"/>
      <c r="Y130" s="258"/>
      <c r="Z130" s="258"/>
      <c r="AA130" s="209"/>
      <c r="AB130" s="209"/>
      <c r="AC130" s="209"/>
      <c r="AD130" s="209"/>
      <c r="AE130" s="209"/>
      <c r="AF130" s="209"/>
      <c r="AG130" s="209"/>
    </row>
    <row r="131" spans="1:34" x14ac:dyDescent="0.2">
      <c r="B131" s="257"/>
      <c r="C131" s="263"/>
      <c r="D131" s="263"/>
      <c r="E131" s="263"/>
      <c r="F131" s="263"/>
      <c r="G131" s="263"/>
      <c r="H131" s="263"/>
      <c r="I131" s="263"/>
      <c r="J131" s="263"/>
      <c r="K131" s="263"/>
      <c r="L131" s="263"/>
      <c r="M131" s="263"/>
      <c r="N131" s="263"/>
      <c r="O131" s="263"/>
      <c r="P131" s="263"/>
      <c r="Q131" s="263"/>
      <c r="R131" s="263"/>
      <c r="S131" s="263"/>
      <c r="T131" s="263"/>
      <c r="U131" s="263"/>
      <c r="V131" s="263"/>
      <c r="W131" s="263"/>
      <c r="X131" s="263"/>
      <c r="Y131" s="263"/>
      <c r="Z131" s="263"/>
      <c r="AA131" s="209"/>
      <c r="AB131" s="209"/>
      <c r="AC131" s="209"/>
      <c r="AD131" s="209"/>
      <c r="AE131" s="209"/>
      <c r="AF131" s="209"/>
      <c r="AG131" s="209"/>
    </row>
    <row r="132" spans="1:34" x14ac:dyDescent="0.2">
      <c r="B132" s="257" t="s">
        <v>231</v>
      </c>
      <c r="C132" s="263" t="e">
        <f t="shared" ref="C132:Z132" ca="1" si="44">MAX(C86+C105+C100,0)</f>
        <v>#NAME?</v>
      </c>
      <c r="D132" s="263" t="e">
        <f t="shared" ca="1" si="44"/>
        <v>#NAME?</v>
      </c>
      <c r="E132" s="263" t="e">
        <f t="shared" ca="1" si="44"/>
        <v>#NAME?</v>
      </c>
      <c r="F132" s="263" t="e">
        <f t="shared" ca="1" si="44"/>
        <v>#NAME?</v>
      </c>
      <c r="G132" s="263" t="e">
        <f t="shared" ca="1" si="44"/>
        <v>#NAME?</v>
      </c>
      <c r="H132" s="263" t="e">
        <f t="shared" ca="1" si="44"/>
        <v>#NAME?</v>
      </c>
      <c r="I132" s="263" t="e">
        <f t="shared" ca="1" si="44"/>
        <v>#NAME?</v>
      </c>
      <c r="J132" s="263" t="e">
        <f t="shared" ca="1" si="44"/>
        <v>#NAME?</v>
      </c>
      <c r="K132" s="263" t="e">
        <f t="shared" ca="1" si="44"/>
        <v>#NAME?</v>
      </c>
      <c r="L132" s="263" t="e">
        <f t="shared" ca="1" si="44"/>
        <v>#NAME?</v>
      </c>
      <c r="M132" s="263" t="e">
        <f t="shared" ca="1" si="44"/>
        <v>#NAME?</v>
      </c>
      <c r="N132" s="263" t="e">
        <f t="shared" ca="1" si="44"/>
        <v>#NAME?</v>
      </c>
      <c r="O132" s="263" t="e">
        <f t="shared" ca="1" si="44"/>
        <v>#NAME?</v>
      </c>
      <c r="P132" s="263" t="e">
        <f t="shared" ca="1" si="44"/>
        <v>#NAME?</v>
      </c>
      <c r="Q132" s="263" t="e">
        <f t="shared" ca="1" si="44"/>
        <v>#NAME?</v>
      </c>
      <c r="R132" s="263" t="e">
        <f t="shared" ca="1" si="44"/>
        <v>#NAME?</v>
      </c>
      <c r="S132" s="263" t="e">
        <f t="shared" ca="1" si="44"/>
        <v>#NAME?</v>
      </c>
      <c r="T132" s="263" t="e">
        <f t="shared" ca="1" si="44"/>
        <v>#NAME?</v>
      </c>
      <c r="U132" s="263" t="e">
        <f t="shared" ca="1" si="44"/>
        <v>#NAME?</v>
      </c>
      <c r="V132" s="263" t="e">
        <f t="shared" ca="1" si="44"/>
        <v>#NAME?</v>
      </c>
      <c r="W132" s="263" t="e">
        <f t="shared" ca="1" si="44"/>
        <v>#NAME?</v>
      </c>
      <c r="X132" s="263" t="e">
        <f t="shared" ca="1" si="44"/>
        <v>#NAME?</v>
      </c>
      <c r="Y132" s="263" t="e">
        <f t="shared" ca="1" si="44"/>
        <v>#NAME?</v>
      </c>
      <c r="Z132" s="263" t="e">
        <f t="shared" ca="1" si="44"/>
        <v>#NAME?</v>
      </c>
      <c r="AA132" s="209"/>
      <c r="AB132" s="209"/>
      <c r="AC132" s="209"/>
      <c r="AD132" s="209"/>
      <c r="AE132" s="209"/>
      <c r="AF132" s="209"/>
      <c r="AG132" s="209"/>
    </row>
    <row r="133" spans="1:34" x14ac:dyDescent="0.2">
      <c r="B133" s="257" t="s">
        <v>232</v>
      </c>
      <c r="C133" s="263" t="e">
        <f t="shared" ref="C133:Z133" ca="1" si="45">MAX(C94+C102+C50,0)</f>
        <v>#NAME?</v>
      </c>
      <c r="D133" s="263" t="e">
        <f t="shared" ca="1" si="45"/>
        <v>#NAME?</v>
      </c>
      <c r="E133" s="263" t="e">
        <f t="shared" ca="1" si="45"/>
        <v>#NAME?</v>
      </c>
      <c r="F133" s="263" t="e">
        <f t="shared" ca="1" si="45"/>
        <v>#NAME?</v>
      </c>
      <c r="G133" s="263" t="e">
        <f t="shared" ca="1" si="45"/>
        <v>#NAME?</v>
      </c>
      <c r="H133" s="263" t="e">
        <f t="shared" ca="1" si="45"/>
        <v>#NAME?</v>
      </c>
      <c r="I133" s="263" t="e">
        <f t="shared" ca="1" si="45"/>
        <v>#NAME?</v>
      </c>
      <c r="J133" s="263" t="e">
        <f t="shared" ca="1" si="45"/>
        <v>#NAME?</v>
      </c>
      <c r="K133" s="263" t="e">
        <f t="shared" ca="1" si="45"/>
        <v>#NAME?</v>
      </c>
      <c r="L133" s="263" t="e">
        <f t="shared" ca="1" si="45"/>
        <v>#NAME?</v>
      </c>
      <c r="M133" s="263" t="e">
        <f t="shared" ca="1" si="45"/>
        <v>#NAME?</v>
      </c>
      <c r="N133" s="263" t="e">
        <f t="shared" ca="1" si="45"/>
        <v>#NAME?</v>
      </c>
      <c r="O133" s="263" t="e">
        <f t="shared" ca="1" si="45"/>
        <v>#NAME?</v>
      </c>
      <c r="P133" s="263" t="e">
        <f t="shared" ca="1" si="45"/>
        <v>#NAME?</v>
      </c>
      <c r="Q133" s="263" t="e">
        <f t="shared" ca="1" si="45"/>
        <v>#NAME?</v>
      </c>
      <c r="R133" s="263" t="e">
        <f t="shared" ca="1" si="45"/>
        <v>#NAME?</v>
      </c>
      <c r="S133" s="263" t="e">
        <f t="shared" ca="1" si="45"/>
        <v>#NAME?</v>
      </c>
      <c r="T133" s="263" t="e">
        <f t="shared" ca="1" si="45"/>
        <v>#NAME?</v>
      </c>
      <c r="U133" s="263" t="e">
        <f t="shared" ca="1" si="45"/>
        <v>#NAME?</v>
      </c>
      <c r="V133" s="263" t="e">
        <f t="shared" ca="1" si="45"/>
        <v>#NAME?</v>
      </c>
      <c r="W133" s="263" t="e">
        <f t="shared" ca="1" si="45"/>
        <v>#NAME?</v>
      </c>
      <c r="X133" s="263" t="e">
        <f t="shared" ca="1" si="45"/>
        <v>#NAME?</v>
      </c>
      <c r="Y133" s="263" t="e">
        <f t="shared" ca="1" si="45"/>
        <v>#NAME?</v>
      </c>
      <c r="Z133" s="263" t="e">
        <f t="shared" ca="1" si="45"/>
        <v>#NAME?</v>
      </c>
      <c r="AA133" s="209"/>
      <c r="AB133" s="209"/>
      <c r="AC133" s="209"/>
      <c r="AD133" s="209"/>
      <c r="AE133" s="209"/>
      <c r="AF133" s="209"/>
      <c r="AG133" s="209"/>
    </row>
    <row r="134" spans="1:34" x14ac:dyDescent="0.2">
      <c r="B134" s="257"/>
      <c r="C134" s="263" t="e">
        <f ca="1">SUM(C132:C133)</f>
        <v>#NAME?</v>
      </c>
      <c r="D134" s="263" t="e">
        <f t="shared" ref="D134:Z134" ca="1" si="46">SUM(D132:D133)</f>
        <v>#NAME?</v>
      </c>
      <c r="E134" s="263" t="e">
        <f t="shared" ca="1" si="46"/>
        <v>#NAME?</v>
      </c>
      <c r="F134" s="263" t="e">
        <f t="shared" ca="1" si="46"/>
        <v>#NAME?</v>
      </c>
      <c r="G134" s="263" t="e">
        <f t="shared" ca="1" si="46"/>
        <v>#NAME?</v>
      </c>
      <c r="H134" s="263" t="e">
        <f t="shared" ca="1" si="46"/>
        <v>#NAME?</v>
      </c>
      <c r="I134" s="263" t="e">
        <f t="shared" ca="1" si="46"/>
        <v>#NAME?</v>
      </c>
      <c r="J134" s="263" t="e">
        <f t="shared" ca="1" si="46"/>
        <v>#NAME?</v>
      </c>
      <c r="K134" s="263" t="e">
        <f t="shared" ca="1" si="46"/>
        <v>#NAME?</v>
      </c>
      <c r="L134" s="263" t="e">
        <f t="shared" ca="1" si="46"/>
        <v>#NAME?</v>
      </c>
      <c r="M134" s="263" t="e">
        <f t="shared" ca="1" si="46"/>
        <v>#NAME?</v>
      </c>
      <c r="N134" s="263" t="e">
        <f t="shared" ca="1" si="46"/>
        <v>#NAME?</v>
      </c>
      <c r="O134" s="263" t="e">
        <f t="shared" ca="1" si="46"/>
        <v>#NAME?</v>
      </c>
      <c r="P134" s="263" t="e">
        <f t="shared" ca="1" si="46"/>
        <v>#NAME?</v>
      </c>
      <c r="Q134" s="263" t="e">
        <f t="shared" ca="1" si="46"/>
        <v>#NAME?</v>
      </c>
      <c r="R134" s="263" t="e">
        <f t="shared" ca="1" si="46"/>
        <v>#NAME?</v>
      </c>
      <c r="S134" s="263" t="e">
        <f t="shared" ca="1" si="46"/>
        <v>#NAME?</v>
      </c>
      <c r="T134" s="263" t="e">
        <f t="shared" ca="1" si="46"/>
        <v>#NAME?</v>
      </c>
      <c r="U134" s="263" t="e">
        <f t="shared" ca="1" si="46"/>
        <v>#NAME?</v>
      </c>
      <c r="V134" s="263" t="e">
        <f t="shared" ca="1" si="46"/>
        <v>#NAME?</v>
      </c>
      <c r="W134" s="263" t="e">
        <f t="shared" ca="1" si="46"/>
        <v>#NAME?</v>
      </c>
      <c r="X134" s="263" t="e">
        <f t="shared" ca="1" si="46"/>
        <v>#NAME?</v>
      </c>
      <c r="Y134" s="263" t="e">
        <f t="shared" ca="1" si="46"/>
        <v>#NAME?</v>
      </c>
      <c r="Z134" s="263" t="e">
        <f t="shared" ca="1" si="46"/>
        <v>#NAME?</v>
      </c>
      <c r="AA134" s="209"/>
      <c r="AB134" s="209"/>
      <c r="AC134" s="209"/>
      <c r="AD134" s="209"/>
      <c r="AE134" s="209"/>
      <c r="AF134" s="209"/>
      <c r="AG134" s="209"/>
    </row>
    <row r="135" spans="1:34" x14ac:dyDescent="0.2">
      <c r="B135" s="257" t="s">
        <v>233</v>
      </c>
      <c r="C135" s="263" t="e">
        <f t="shared" ref="C135:Z135" ca="1" si="47">MAX(C94+C102+C50,0)*0.25</f>
        <v>#NAME?</v>
      </c>
      <c r="D135" s="263" t="e">
        <f t="shared" ca="1" si="47"/>
        <v>#NAME?</v>
      </c>
      <c r="E135" s="263" t="e">
        <f t="shared" ca="1" si="47"/>
        <v>#NAME?</v>
      </c>
      <c r="F135" s="263" t="e">
        <f t="shared" ca="1" si="47"/>
        <v>#NAME?</v>
      </c>
      <c r="G135" s="263" t="e">
        <f t="shared" ca="1" si="47"/>
        <v>#NAME?</v>
      </c>
      <c r="H135" s="263" t="e">
        <f t="shared" ca="1" si="47"/>
        <v>#NAME?</v>
      </c>
      <c r="I135" s="263" t="e">
        <f t="shared" ca="1" si="47"/>
        <v>#NAME?</v>
      </c>
      <c r="J135" s="263" t="e">
        <f t="shared" ca="1" si="47"/>
        <v>#NAME?</v>
      </c>
      <c r="K135" s="263" t="e">
        <f t="shared" ca="1" si="47"/>
        <v>#NAME?</v>
      </c>
      <c r="L135" s="263" t="e">
        <f t="shared" ca="1" si="47"/>
        <v>#NAME?</v>
      </c>
      <c r="M135" s="263" t="e">
        <f t="shared" ca="1" si="47"/>
        <v>#NAME?</v>
      </c>
      <c r="N135" s="263" t="e">
        <f t="shared" ca="1" si="47"/>
        <v>#NAME?</v>
      </c>
      <c r="O135" s="263" t="e">
        <f t="shared" ca="1" si="47"/>
        <v>#NAME?</v>
      </c>
      <c r="P135" s="263" t="e">
        <f t="shared" ca="1" si="47"/>
        <v>#NAME?</v>
      </c>
      <c r="Q135" s="263" t="e">
        <f t="shared" ca="1" si="47"/>
        <v>#NAME?</v>
      </c>
      <c r="R135" s="263" t="e">
        <f t="shared" ca="1" si="47"/>
        <v>#NAME?</v>
      </c>
      <c r="S135" s="263" t="e">
        <f t="shared" ca="1" si="47"/>
        <v>#NAME?</v>
      </c>
      <c r="T135" s="263" t="e">
        <f t="shared" ca="1" si="47"/>
        <v>#NAME?</v>
      </c>
      <c r="U135" s="263" t="e">
        <f t="shared" ca="1" si="47"/>
        <v>#NAME?</v>
      </c>
      <c r="V135" s="263" t="e">
        <f t="shared" ca="1" si="47"/>
        <v>#NAME?</v>
      </c>
      <c r="W135" s="263" t="e">
        <f t="shared" ca="1" si="47"/>
        <v>#NAME?</v>
      </c>
      <c r="X135" s="263" t="e">
        <f t="shared" ca="1" si="47"/>
        <v>#NAME?</v>
      </c>
      <c r="Y135" s="263" t="e">
        <f t="shared" ca="1" si="47"/>
        <v>#NAME?</v>
      </c>
      <c r="Z135" s="263" t="e">
        <f t="shared" ca="1" si="47"/>
        <v>#NAME?</v>
      </c>
      <c r="AA135" s="209"/>
      <c r="AB135" s="209"/>
      <c r="AC135" s="209"/>
      <c r="AD135" s="209"/>
      <c r="AE135" s="209"/>
      <c r="AF135" s="209"/>
      <c r="AG135" s="209"/>
    </row>
    <row r="136" spans="1:34" x14ac:dyDescent="0.2">
      <c r="B136" s="257"/>
      <c r="C136" s="263"/>
      <c r="D136" s="263"/>
      <c r="E136" s="263"/>
      <c r="F136" s="263"/>
      <c r="G136" s="263"/>
      <c r="H136" s="263"/>
      <c r="I136" s="263"/>
      <c r="J136" s="263"/>
      <c r="K136" s="263"/>
      <c r="L136" s="263"/>
      <c r="M136" s="209"/>
      <c r="N136" s="209"/>
      <c r="O136" s="209"/>
      <c r="P136" s="209"/>
      <c r="Q136" s="209"/>
      <c r="R136" s="209"/>
      <c r="S136" s="209"/>
      <c r="T136" s="209"/>
      <c r="U136" s="209"/>
      <c r="V136" s="209"/>
      <c r="W136" s="209"/>
      <c r="X136" s="209"/>
      <c r="Y136" s="209"/>
      <c r="Z136" s="209"/>
      <c r="AA136" s="209"/>
      <c r="AB136" s="209"/>
      <c r="AC136" s="209"/>
      <c r="AD136" s="209"/>
      <c r="AE136" s="209"/>
      <c r="AF136" s="209"/>
      <c r="AG136" s="209"/>
    </row>
    <row r="137" spans="1:34" x14ac:dyDescent="0.2">
      <c r="B137" s="257"/>
      <c r="C137" s="263"/>
      <c r="D137" s="263"/>
      <c r="E137" s="263"/>
      <c r="F137" s="263"/>
      <c r="G137" s="113" t="s">
        <v>247</v>
      </c>
      <c r="I137" s="263" t="s">
        <v>234</v>
      </c>
      <c r="J137" s="263"/>
      <c r="K137" s="263" t="s">
        <v>235</v>
      </c>
      <c r="L137" s="263"/>
      <c r="M137" s="209"/>
      <c r="N137" s="209"/>
      <c r="O137" s="209"/>
      <c r="P137" s="209"/>
      <c r="Q137" s="209"/>
      <c r="R137" s="209"/>
      <c r="S137" s="209"/>
      <c r="T137" s="209"/>
      <c r="U137" s="209"/>
      <c r="V137" s="209"/>
      <c r="W137" s="209"/>
      <c r="X137" s="209"/>
      <c r="Y137" s="209"/>
      <c r="Z137" s="209"/>
      <c r="AA137" s="209"/>
      <c r="AB137" s="209"/>
      <c r="AC137" s="209"/>
      <c r="AD137" s="209"/>
      <c r="AE137" s="209"/>
      <c r="AF137" s="209"/>
      <c r="AG137" s="209"/>
    </row>
    <row r="138" spans="1:34" x14ac:dyDescent="0.2">
      <c r="B138" s="257"/>
      <c r="C138" s="263" t="s">
        <v>239</v>
      </c>
      <c r="D138" s="263" t="s">
        <v>240</v>
      </c>
      <c r="E138" s="263"/>
      <c r="F138" s="263"/>
      <c r="G138" s="263" t="s">
        <v>239</v>
      </c>
      <c r="H138" s="263" t="s">
        <v>240</v>
      </c>
      <c r="I138" s="263" t="s">
        <v>239</v>
      </c>
      <c r="J138" s="263" t="s">
        <v>240</v>
      </c>
      <c r="K138" s="263" t="s">
        <v>239</v>
      </c>
      <c r="L138" s="263" t="s">
        <v>240</v>
      </c>
      <c r="M138" s="209"/>
      <c r="N138" s="209"/>
      <c r="O138" s="209"/>
      <c r="P138" s="209"/>
      <c r="Q138" s="209"/>
      <c r="R138" s="209"/>
      <c r="S138" s="209"/>
      <c r="T138" s="209"/>
      <c r="U138" s="209"/>
      <c r="V138" s="209"/>
      <c r="W138" s="209"/>
      <c r="X138" s="209"/>
      <c r="Y138" s="209"/>
      <c r="Z138" s="209"/>
      <c r="AA138" s="209"/>
      <c r="AB138" s="209"/>
      <c r="AC138" s="209"/>
      <c r="AD138" s="209"/>
      <c r="AE138" s="209"/>
      <c r="AF138" s="209"/>
      <c r="AG138" s="209"/>
    </row>
    <row r="139" spans="1:34" x14ac:dyDescent="0.2">
      <c r="B139" s="269">
        <v>2017</v>
      </c>
      <c r="C139" s="263" t="e">
        <f ca="1">_xll.RiskDiscrete(MAX(INDEX($C$133:$Z$133,$B139-2016),0),1,_xll.RiskStatic(IF(Assumptions!$C$63=Assumptions!$B$62,I139,'Petroleum Model'!G139)))</f>
        <v>#NAME?</v>
      </c>
      <c r="D139" s="263" t="e">
        <f ca="1">_xll.RiskDiscrete(MAX(INDEX($C$132:$Z$132,$B139-2016),0),1,_xll.RiskStatic(IF(Assumptions!$C$63=Assumptions!$B$62,J139,'Petroleum Model'!H139)))</f>
        <v>#NAME?</v>
      </c>
      <c r="E139" s="263"/>
      <c r="F139" s="263"/>
      <c r="G139" s="113" t="e">
        <f ca="1">MAX(INDEX($C$133:$Z$133,$B139-2016),0)</f>
        <v>#NAME?</v>
      </c>
      <c r="H139" s="113" t="e">
        <f ca="1">MAX(INDEX($C$132:$Z$132,$B139-2016),0)</f>
        <v>#NAME?</v>
      </c>
      <c r="I139" s="263">
        <v>1121.4471067771208</v>
      </c>
      <c r="J139" s="263">
        <v>356.82127298304022</v>
      </c>
      <c r="K139" s="263" t="e">
        <f ca="1">_xll.RiskMean(C139)</f>
        <v>#NAME?</v>
      </c>
      <c r="L139" s="263" t="e">
        <f ca="1">_xll.RiskMean(D139)</f>
        <v>#NAME?</v>
      </c>
      <c r="M139" s="209"/>
      <c r="N139" s="209"/>
      <c r="O139" s="209"/>
      <c r="P139" s="209"/>
      <c r="Q139" s="209"/>
      <c r="R139" s="209"/>
      <c r="S139" s="209"/>
      <c r="T139" s="209"/>
      <c r="U139" s="209"/>
      <c r="V139" s="209"/>
      <c r="W139" s="209"/>
      <c r="X139" s="209"/>
      <c r="Y139" s="209"/>
      <c r="Z139" s="209"/>
      <c r="AA139" s="209"/>
      <c r="AB139" s="209"/>
      <c r="AC139" s="209"/>
      <c r="AD139" s="209"/>
      <c r="AE139" s="209"/>
      <c r="AF139" s="209"/>
      <c r="AG139" s="209"/>
    </row>
    <row r="140" spans="1:34" x14ac:dyDescent="0.2">
      <c r="B140" s="269">
        <v>2018</v>
      </c>
      <c r="C140" s="263" t="e">
        <f ca="1">_xll.RiskDiscrete(MAX(INDEX($C$133:$Z$133,$B140-2016),0),1,_xll.RiskStatic(IF(Assumptions!$C$63=Assumptions!$B$62,I140,'Petroleum Model'!G140)))</f>
        <v>#NAME?</v>
      </c>
      <c r="D140" s="263" t="e">
        <f ca="1">_xll.RiskDiscrete(MAX(INDEX($C$132:$Z$132,$B140-2016),0),1,_xll.RiskStatic(IF(Assumptions!$C$63=Assumptions!$B$62,J140,'Petroleum Model'!H140)))</f>
        <v>#NAME?</v>
      </c>
      <c r="E140" s="263"/>
      <c r="F140" s="263"/>
      <c r="G140" s="113" t="e">
        <f t="shared" ref="G140:G162" ca="1" si="48">MAX(INDEX($C$133:$Z$133,$B140-2016),0)</f>
        <v>#NAME?</v>
      </c>
      <c r="H140" s="113" t="e">
        <f t="shared" ref="H140:H162" ca="1" si="49">MAX(INDEX($C$132:$Z$132,$B140-2016),0)</f>
        <v>#NAME?</v>
      </c>
      <c r="I140" s="263">
        <v>1229.4638525060084</v>
      </c>
      <c r="J140" s="263">
        <v>400.36854278459435</v>
      </c>
      <c r="K140" s="263" t="e">
        <f ca="1">_xll.RiskMean(C140)</f>
        <v>#NAME?</v>
      </c>
      <c r="L140" s="263" t="e">
        <f ca="1">_xll.RiskMean(D140)</f>
        <v>#NAME?</v>
      </c>
      <c r="AA140" s="209"/>
      <c r="AB140" s="209"/>
      <c r="AC140" s="209"/>
      <c r="AD140" s="209"/>
      <c r="AE140" s="209"/>
      <c r="AF140" s="209"/>
      <c r="AG140" s="209"/>
    </row>
    <row r="141" spans="1:34" x14ac:dyDescent="0.2">
      <c r="B141" s="269">
        <v>2019</v>
      </c>
      <c r="C141" s="263" t="e">
        <f ca="1">_xll.RiskDiscrete(MAX(INDEX($C$133:$Z$133,$B141-2016),0),1,_xll.RiskStatic(IF(Assumptions!$C$63=Assumptions!$B$62,I141,'Petroleum Model'!G141)))</f>
        <v>#NAME?</v>
      </c>
      <c r="D141" s="263" t="e">
        <f ca="1">_xll.RiskDiscrete(MAX(INDEX($C$132:$Z$132,$B141-2016),0),1,_xll.RiskStatic(IF(Assumptions!$C$63=Assumptions!$B$62,J141,'Petroleum Model'!H141)))</f>
        <v>#NAME?</v>
      </c>
      <c r="E141" s="263"/>
      <c r="F141" s="263"/>
      <c r="G141" s="113" t="e">
        <f t="shared" ca="1" si="48"/>
        <v>#NAME?</v>
      </c>
      <c r="H141" s="113" t="e">
        <f t="shared" ca="1" si="49"/>
        <v>#NAME?</v>
      </c>
      <c r="I141" s="263">
        <v>1313.4517148831751</v>
      </c>
      <c r="J141" s="263">
        <v>533.15253483161177</v>
      </c>
      <c r="K141" s="263" t="e">
        <f ca="1">_xll.RiskMean(C141)</f>
        <v>#NAME?</v>
      </c>
      <c r="L141" s="263" t="e">
        <f ca="1">_xll.RiskMean(D141)</f>
        <v>#NAME?</v>
      </c>
    </row>
    <row r="142" spans="1:34" x14ac:dyDescent="0.2">
      <c r="B142" s="269">
        <v>2020</v>
      </c>
      <c r="C142" s="263" t="e">
        <f ca="1">_xll.RiskDiscrete(MAX(INDEX($C$133:$Z$133,$B142-2016),0),1,_xll.RiskStatic(IF(Assumptions!$C$63=Assumptions!$B$62,I142,'Petroleum Model'!G142)))</f>
        <v>#NAME?</v>
      </c>
      <c r="D142" s="263" t="e">
        <f ca="1">_xll.RiskDiscrete(MAX(INDEX($C$132:$Z$132,$B142-2016),0),1,_xll.RiskStatic(IF(Assumptions!$C$63=Assumptions!$B$62,J142,'Petroleum Model'!H142)))</f>
        <v>#NAME?</v>
      </c>
      <c r="E142" s="263"/>
      <c r="F142" s="263"/>
      <c r="G142" s="113" t="e">
        <f t="shared" ca="1" si="48"/>
        <v>#NAME?</v>
      </c>
      <c r="H142" s="113" t="e">
        <f t="shared" ca="1" si="49"/>
        <v>#NAME?</v>
      </c>
      <c r="I142" s="263">
        <v>1276.0372300705596</v>
      </c>
      <c r="J142" s="263">
        <v>540.08078968194127</v>
      </c>
      <c r="K142" s="263" t="e">
        <f ca="1">_xll.RiskMean(C142)</f>
        <v>#NAME?</v>
      </c>
      <c r="L142" s="263" t="e">
        <f ca="1">_xll.RiskMean(D142)</f>
        <v>#NAME?</v>
      </c>
    </row>
    <row r="143" spans="1:34" x14ac:dyDescent="0.2">
      <c r="B143" s="269">
        <v>2021</v>
      </c>
      <c r="C143" s="263" t="e">
        <f ca="1">_xll.RiskDiscrete(MAX(INDEX($C$133:$Z$133,$B143-2016),0),1,_xll.RiskStatic(IF(Assumptions!$C$63=Assumptions!$B$62,I143,'Petroleum Model'!G143)))</f>
        <v>#NAME?</v>
      </c>
      <c r="D143" s="263" t="e">
        <f ca="1">_xll.RiskDiscrete(MAX(INDEX($C$132:$Z$132,$B143-2016),0),1,_xll.RiskStatic(IF(Assumptions!$C$63=Assumptions!$B$62,J143,'Petroleum Model'!H143)))</f>
        <v>#NAME?</v>
      </c>
      <c r="E143" s="263"/>
      <c r="F143" s="263"/>
      <c r="G143" s="113" t="e">
        <f t="shared" ca="1" si="48"/>
        <v>#NAME?</v>
      </c>
      <c r="H143" s="113" t="e">
        <f t="shared" ca="1" si="49"/>
        <v>#NAME?</v>
      </c>
      <c r="I143" s="263">
        <v>1303.5578747252623</v>
      </c>
      <c r="J143" s="263">
        <v>718.06298519028292</v>
      </c>
      <c r="K143" s="263" t="e">
        <f ca="1">_xll.RiskMean(C143)</f>
        <v>#NAME?</v>
      </c>
      <c r="L143" s="263" t="e">
        <f ca="1">_xll.RiskMean(D143)</f>
        <v>#NAME?</v>
      </c>
    </row>
    <row r="144" spans="1:34" x14ac:dyDescent="0.2">
      <c r="B144" s="269">
        <v>2022</v>
      </c>
      <c r="C144" s="263" t="e">
        <f ca="1">_xll.RiskDiscrete(MAX(INDEX($C$133:$Z$133,$B144-2016),0),1,_xll.RiskStatic(IF(Assumptions!$C$63=Assumptions!$B$62,I144,'Petroleum Model'!G144)))</f>
        <v>#NAME?</v>
      </c>
      <c r="D144" s="263" t="e">
        <f ca="1">_xll.RiskDiscrete(MAX(INDEX($C$132:$Z$132,$B144-2016),0),1,_xll.RiskStatic(IF(Assumptions!$C$63=Assumptions!$B$62,J144,'Petroleum Model'!H144)))</f>
        <v>#NAME?</v>
      </c>
      <c r="E144" s="263"/>
      <c r="F144" s="263"/>
      <c r="G144" s="113" t="e">
        <f t="shared" ca="1" si="48"/>
        <v>#NAME?</v>
      </c>
      <c r="H144" s="113" t="e">
        <f t="shared" ca="1" si="49"/>
        <v>#NAME?</v>
      </c>
      <c r="I144" s="263">
        <v>1257.0910404558763</v>
      </c>
      <c r="J144" s="263">
        <v>856.63295847785537</v>
      </c>
      <c r="K144" s="263" t="e">
        <f ca="1">_xll.RiskMean(C144)</f>
        <v>#NAME?</v>
      </c>
      <c r="L144" s="263" t="e">
        <f ca="1">_xll.RiskMean(D144)</f>
        <v>#NAME?</v>
      </c>
    </row>
    <row r="145" spans="1:13" x14ac:dyDescent="0.2">
      <c r="B145" s="269">
        <v>2023</v>
      </c>
      <c r="C145" s="263" t="e">
        <f ca="1">_xll.RiskDiscrete(MAX(INDEX($C$133:$Z$133,$B145-2016),0),1,_xll.RiskStatic(IF(Assumptions!$C$63=Assumptions!$B$62,I145,'Petroleum Model'!G145)))</f>
        <v>#NAME?</v>
      </c>
      <c r="D145" s="263" t="e">
        <f ca="1">_xll.RiskDiscrete(MAX(INDEX($C$132:$Z$132,$B145-2016),0),1,_xll.RiskStatic(IF(Assumptions!$C$63=Assumptions!$B$62,J145,'Petroleum Model'!H145)))</f>
        <v>#NAME?</v>
      </c>
      <c r="E145" s="263"/>
      <c r="F145" s="270"/>
      <c r="G145" s="113" t="e">
        <f t="shared" ca="1" si="48"/>
        <v>#NAME?</v>
      </c>
      <c r="H145" s="113" t="e">
        <f t="shared" ca="1" si="49"/>
        <v>#NAME?</v>
      </c>
      <c r="I145" s="263">
        <v>1187.948202156527</v>
      </c>
      <c r="J145" s="263">
        <v>831.32540690578287</v>
      </c>
      <c r="K145" s="263" t="e">
        <f ca="1">_xll.RiskMean(C145)</f>
        <v>#NAME?</v>
      </c>
      <c r="L145" s="263" t="e">
        <f ca="1">_xll.RiskMean(D145)</f>
        <v>#NAME?</v>
      </c>
    </row>
    <row r="146" spans="1:13" x14ac:dyDescent="0.2">
      <c r="B146" s="269">
        <v>2024</v>
      </c>
      <c r="C146" s="263" t="e">
        <f ca="1">_xll.RiskDiscrete(MAX(INDEX($C$133:$Z$133,$B146-2016),0),1,_xll.RiskStatic(IF(Assumptions!$C$63=Assumptions!$B$62,I146,'Petroleum Model'!G146)))</f>
        <v>#NAME?</v>
      </c>
      <c r="D146" s="263" t="e">
        <f ca="1">_xll.RiskDiscrete(MAX(INDEX($C$132:$Z$132,$B146-2016),0),1,_xll.RiskStatic(IF(Assumptions!$C$63=Assumptions!$B$62,J146,'Petroleum Model'!H146)))</f>
        <v>#NAME?</v>
      </c>
      <c r="E146" s="263"/>
      <c r="F146" s="263"/>
      <c r="G146" s="113" t="e">
        <f t="shared" ca="1" si="48"/>
        <v>#NAME?</v>
      </c>
      <c r="H146" s="113" t="e">
        <f t="shared" ca="1" si="49"/>
        <v>#NAME?</v>
      </c>
      <c r="I146" s="263">
        <v>1112.6855203025927</v>
      </c>
      <c r="J146" s="263">
        <v>805.07259405163779</v>
      </c>
      <c r="K146" s="263" t="e">
        <f ca="1">_xll.RiskMean(C146)</f>
        <v>#NAME?</v>
      </c>
      <c r="L146" s="263" t="e">
        <f ca="1">_xll.RiskMean(D146)</f>
        <v>#NAME?</v>
      </c>
    </row>
    <row r="147" spans="1:13" x14ac:dyDescent="0.2">
      <c r="B147" s="269">
        <v>2025</v>
      </c>
      <c r="C147" s="263" t="e">
        <f ca="1">_xll.RiskDiscrete(MAX(INDEX($C$133:$Z$133,$B147-2016),0),1,_xll.RiskStatic(IF(Assumptions!$C$63=Assumptions!$B$62,I147,'Petroleum Model'!G147)))</f>
        <v>#NAME?</v>
      </c>
      <c r="D147" s="263" t="e">
        <f ca="1">_xll.RiskDiscrete(MAX(INDEX($C$132:$Z$132,$B147-2016),0),1,_xll.RiskStatic(IF(Assumptions!$C$63=Assumptions!$B$62,J147,'Petroleum Model'!H147)))</f>
        <v>#NAME?</v>
      </c>
      <c r="E147" s="263"/>
      <c r="F147" s="271"/>
      <c r="G147" s="113" t="e">
        <f t="shared" ca="1" si="48"/>
        <v>#NAME?</v>
      </c>
      <c r="H147" s="113" t="e">
        <f t="shared" ca="1" si="49"/>
        <v>#NAME?</v>
      </c>
      <c r="I147" s="263">
        <v>1076.4214469997798</v>
      </c>
      <c r="J147" s="272">
        <v>866.97268372927624</v>
      </c>
      <c r="K147" s="263" t="e">
        <f ca="1">_xll.RiskMean(C147)</f>
        <v>#NAME?</v>
      </c>
      <c r="L147" s="263" t="e">
        <f ca="1">_xll.RiskMean(D147)</f>
        <v>#NAME?</v>
      </c>
    </row>
    <row r="148" spans="1:13" x14ac:dyDescent="0.2">
      <c r="B148" s="269">
        <v>2026</v>
      </c>
      <c r="C148" s="263" t="e">
        <f ca="1">_xll.RiskDiscrete(MAX(INDEX($C$133:$Z$133,$B148-2016),0),1,_xll.RiskStatic(IF(Assumptions!$C$63=Assumptions!$B$62,I148,'Petroleum Model'!G148)))</f>
        <v>#NAME?</v>
      </c>
      <c r="D148" s="263" t="e">
        <f ca="1">_xll.RiskDiscrete(MAX(INDEX($C$132:$Z$132,$B148-2016),0),1,_xll.RiskStatic(IF(Assumptions!$C$63=Assumptions!$B$62,J148,'Petroleum Model'!H148)))</f>
        <v>#NAME?</v>
      </c>
      <c r="G148" s="113" t="e">
        <f t="shared" ca="1" si="48"/>
        <v>#NAME?</v>
      </c>
      <c r="H148" s="113" t="e">
        <f t="shared" ca="1" si="49"/>
        <v>#NAME?</v>
      </c>
      <c r="I148" s="273">
        <v>1008.9046291680868</v>
      </c>
      <c r="J148" s="273">
        <v>847.4135604895738</v>
      </c>
      <c r="K148" s="263" t="e">
        <f ca="1">_xll.RiskMean(C148)</f>
        <v>#NAME?</v>
      </c>
      <c r="L148" s="263" t="e">
        <f ca="1">_xll.RiskMean(D148)</f>
        <v>#NAME?</v>
      </c>
      <c r="M148" s="274"/>
    </row>
    <row r="149" spans="1:13" x14ac:dyDescent="0.2">
      <c r="B149" s="269">
        <v>2027</v>
      </c>
      <c r="C149" s="263" t="e">
        <f ca="1">_xll.RiskDiscrete(MAX(INDEX($C$133:$Z$133,$B149-2016),0),1,_xll.RiskStatic(IF(Assumptions!$C$63=Assumptions!$B$62,I149,'Petroleum Model'!G149)))</f>
        <v>#NAME?</v>
      </c>
      <c r="D149" s="263" t="e">
        <f ca="1">_xll.RiskDiscrete(MAX(INDEX($C$132:$Z$132,$B149-2016),0),1,_xll.RiskStatic(IF(Assumptions!$C$63=Assumptions!$B$62,J149,'Petroleum Model'!H149)))</f>
        <v>#NAME?</v>
      </c>
      <c r="G149" s="113" t="e">
        <f t="shared" ca="1" si="48"/>
        <v>#NAME?</v>
      </c>
      <c r="H149" s="113" t="e">
        <f t="shared" ca="1" si="49"/>
        <v>#NAME?</v>
      </c>
      <c r="I149" s="273">
        <v>948.0184776401934</v>
      </c>
      <c r="J149" s="273">
        <v>790.26393511482877</v>
      </c>
      <c r="K149" s="263" t="e">
        <f ca="1">_xll.RiskMean(C149)</f>
        <v>#NAME?</v>
      </c>
      <c r="L149" s="263" t="e">
        <f ca="1">_xll.RiskMean(D149)</f>
        <v>#NAME?</v>
      </c>
    </row>
    <row r="150" spans="1:13" x14ac:dyDescent="0.2">
      <c r="B150" s="269">
        <v>2028</v>
      </c>
      <c r="C150" s="263" t="e">
        <f ca="1">_xll.RiskDiscrete(MAX(INDEX($C$133:$Z$133,$B150-2016),0),1,_xll.RiskStatic(IF(Assumptions!$C$63=Assumptions!$B$62,I150,'Petroleum Model'!G150)))</f>
        <v>#NAME?</v>
      </c>
      <c r="D150" s="263" t="e">
        <f ca="1">_xll.RiskDiscrete(MAX(INDEX($C$132:$Z$132,$B150-2016),0),1,_xll.RiskStatic(IF(Assumptions!$C$63=Assumptions!$B$62,J150,'Petroleum Model'!H150)))</f>
        <v>#NAME?</v>
      </c>
      <c r="G150" s="113" t="e">
        <f t="shared" ca="1" si="48"/>
        <v>#NAME?</v>
      </c>
      <c r="H150" s="113" t="e">
        <f t="shared" ca="1" si="49"/>
        <v>#NAME?</v>
      </c>
      <c r="I150" s="273">
        <v>896.17905264568299</v>
      </c>
      <c r="J150" s="273">
        <v>740.59964947357582</v>
      </c>
      <c r="K150" s="263" t="e">
        <f ca="1">_xll.RiskMean(C150)</f>
        <v>#NAME?</v>
      </c>
      <c r="L150" s="263" t="e">
        <f ca="1">_xll.RiskMean(D150)</f>
        <v>#NAME?</v>
      </c>
    </row>
    <row r="151" spans="1:13" x14ac:dyDescent="0.2">
      <c r="B151" s="269">
        <v>2029</v>
      </c>
      <c r="C151" s="263" t="e">
        <f ca="1">_xll.RiskDiscrete(MAX(INDEX($C$133:$Z$133,$B151-2016),0),1,_xll.RiskStatic(IF(Assumptions!$C$63=Assumptions!$B$62,I151,'Petroleum Model'!G151)))</f>
        <v>#NAME?</v>
      </c>
      <c r="D151" s="263" t="e">
        <f ca="1">_xll.RiskDiscrete(MAX(INDEX($C$132:$Z$132,$B151-2016),0),1,_xll.RiskStatic(IF(Assumptions!$C$63=Assumptions!$B$62,J151,'Petroleum Model'!H151)))</f>
        <v>#NAME?</v>
      </c>
      <c r="G151" s="113" t="e">
        <f t="shared" ca="1" si="48"/>
        <v>#NAME?</v>
      </c>
      <c r="H151" s="113" t="e">
        <f t="shared" ca="1" si="49"/>
        <v>#NAME?</v>
      </c>
      <c r="I151" s="273">
        <v>843.29704773230424</v>
      </c>
      <c r="J151" s="273">
        <v>689.44367258733871</v>
      </c>
      <c r="K151" s="263" t="e">
        <f ca="1">_xll.RiskMean(C151)</f>
        <v>#NAME?</v>
      </c>
      <c r="L151" s="263" t="e">
        <f ca="1">_xll.RiskMean(D151)</f>
        <v>#NAME?</v>
      </c>
    </row>
    <row r="152" spans="1:13" x14ac:dyDescent="0.2">
      <c r="B152" s="269">
        <v>2030</v>
      </c>
      <c r="C152" s="263" t="e">
        <f ca="1">_xll.RiskDiscrete(MAX(INDEX($C$133:$Z$133,$B152-2016),0),1,_xll.RiskStatic(IF(Assumptions!$C$63=Assumptions!$B$62,I152,'Petroleum Model'!G152)))</f>
        <v>#NAME?</v>
      </c>
      <c r="D152" s="263" t="e">
        <f ca="1">_xll.RiskDiscrete(MAX(INDEX($C$132:$Z$132,$B152-2016),0),1,_xll.RiskStatic(IF(Assumptions!$C$63=Assumptions!$B$62,J152,'Petroleum Model'!H152)))</f>
        <v>#NAME?</v>
      </c>
      <c r="G152" s="113" t="e">
        <f t="shared" ca="1" si="48"/>
        <v>#NAME?</v>
      </c>
      <c r="H152" s="113" t="e">
        <f t="shared" ca="1" si="49"/>
        <v>#NAME?</v>
      </c>
      <c r="I152" s="273">
        <v>796.43909593221008</v>
      </c>
      <c r="J152" s="273">
        <v>646.6178260845968</v>
      </c>
      <c r="K152" s="263" t="e">
        <f ca="1">_xll.RiskMean(C152)</f>
        <v>#NAME?</v>
      </c>
      <c r="L152" s="263" t="e">
        <f ca="1">_xll.RiskMean(D152)</f>
        <v>#NAME?</v>
      </c>
    </row>
    <row r="153" spans="1:13" x14ac:dyDescent="0.2">
      <c r="B153" s="269">
        <v>2031</v>
      </c>
      <c r="C153" s="263" t="e">
        <f ca="1">_xll.RiskDiscrete(MAX(INDEX($C$133:$Z$133,$B153-2016),0),1,_xll.RiskStatic(IF(Assumptions!$C$63=Assumptions!$B$62,I153,'Petroleum Model'!G153)))</f>
        <v>#NAME?</v>
      </c>
      <c r="D153" s="263" t="e">
        <f ca="1">_xll.RiskDiscrete(MAX(INDEX($C$132:$Z$132,$B153-2016),0),1,_xll.RiskStatic(IF(Assumptions!$C$63=Assumptions!$B$62,J153,'Petroleum Model'!H153)))</f>
        <v>#NAME?</v>
      </c>
      <c r="G153" s="113" t="e">
        <f t="shared" ca="1" si="48"/>
        <v>#NAME?</v>
      </c>
      <c r="H153" s="113" t="e">
        <f t="shared" ca="1" si="49"/>
        <v>#NAME?</v>
      </c>
      <c r="I153" s="273">
        <v>755.0045893131429</v>
      </c>
      <c r="J153" s="273">
        <v>606.98150068758525</v>
      </c>
      <c r="K153" s="263" t="e">
        <f ca="1">_xll.RiskMean(C153)</f>
        <v>#NAME?</v>
      </c>
      <c r="L153" s="263" t="e">
        <f ca="1">_xll.RiskMean(D153)</f>
        <v>#NAME?</v>
      </c>
    </row>
    <row r="154" spans="1:13" x14ac:dyDescent="0.2">
      <c r="B154" s="269">
        <v>2032</v>
      </c>
      <c r="C154" s="263" t="e">
        <f ca="1">_xll.RiskDiscrete(MAX(INDEX($C$133:$Z$133,$B154-2016),0),1,_xll.RiskStatic(IF(Assumptions!$C$63=Assumptions!$B$62,I154,'Petroleum Model'!G154)))</f>
        <v>#NAME?</v>
      </c>
      <c r="D154" s="263" t="e">
        <f ca="1">_xll.RiskDiscrete(MAX(INDEX($C$132:$Z$132,$B154-2016),0),1,_xll.RiskStatic(IF(Assumptions!$C$63=Assumptions!$B$62,J154,'Petroleum Model'!H154)))</f>
        <v>#NAME?</v>
      </c>
      <c r="G154" s="113" t="e">
        <f t="shared" ca="1" si="48"/>
        <v>#NAME?</v>
      </c>
      <c r="H154" s="113" t="e">
        <f t="shared" ca="1" si="49"/>
        <v>#NAME?</v>
      </c>
      <c r="I154" s="273">
        <v>720.09024765912693</v>
      </c>
      <c r="J154" s="273">
        <v>573.06503828641053</v>
      </c>
      <c r="K154" s="263" t="e">
        <f ca="1">_xll.RiskMean(C154)</f>
        <v>#NAME?</v>
      </c>
      <c r="L154" s="263" t="e">
        <f ca="1">_xll.RiskMean(D154)</f>
        <v>#NAME?</v>
      </c>
    </row>
    <row r="155" spans="1:13" x14ac:dyDescent="0.2">
      <c r="B155" s="269">
        <v>2033</v>
      </c>
      <c r="C155" s="263" t="e">
        <f ca="1">_xll.RiskDiscrete(MAX(INDEX($C$133:$Z$133,$B155-2016),0),1,_xll.RiskStatic(IF(Assumptions!$C$63=Assumptions!$B$62,I155,'Petroleum Model'!G155)))</f>
        <v>#NAME?</v>
      </c>
      <c r="D155" s="263" t="e">
        <f ca="1">_xll.RiskDiscrete(MAX(INDEX($C$132:$Z$132,$B155-2016),0),1,_xll.RiskStatic(IF(Assumptions!$C$63=Assumptions!$B$62,J155,'Petroleum Model'!H155)))</f>
        <v>#NAME?</v>
      </c>
      <c r="G155" s="113" t="e">
        <f t="shared" ca="1" si="48"/>
        <v>#NAME?</v>
      </c>
      <c r="H155" s="113" t="e">
        <f t="shared" ca="1" si="49"/>
        <v>#NAME?</v>
      </c>
      <c r="I155" s="273">
        <v>682.81943622745439</v>
      </c>
      <c r="J155" s="273">
        <v>534.51568315038253</v>
      </c>
      <c r="K155" s="263" t="e">
        <f ca="1">_xll.RiskMean(C155)</f>
        <v>#NAME?</v>
      </c>
      <c r="L155" s="263" t="e">
        <f ca="1">_xll.RiskMean(D155)</f>
        <v>#NAME?</v>
      </c>
    </row>
    <row r="156" spans="1:13" x14ac:dyDescent="0.2">
      <c r="B156" s="269">
        <v>2034</v>
      </c>
      <c r="C156" s="263" t="e">
        <f ca="1">_xll.RiskDiscrete(MAX(INDEX($C$133:$Z$133,$B156-2016),0),1,_xll.RiskStatic(IF(Assumptions!$C$63=Assumptions!$B$62,I156,'Petroleum Model'!G156)))</f>
        <v>#NAME?</v>
      </c>
      <c r="D156" s="263" t="e">
        <f ca="1">_xll.RiskDiscrete(MAX(INDEX($C$132:$Z$132,$B156-2016),0),1,_xll.RiskStatic(IF(Assumptions!$C$63=Assumptions!$B$62,J156,'Petroleum Model'!H156)))</f>
        <v>#NAME?</v>
      </c>
      <c r="G156" s="113" t="e">
        <f t="shared" ca="1" si="48"/>
        <v>#NAME?</v>
      </c>
      <c r="H156" s="113" t="e">
        <f t="shared" ca="1" si="49"/>
        <v>#NAME?</v>
      </c>
      <c r="I156" s="273">
        <v>649.12165923744226</v>
      </c>
      <c r="J156" s="273">
        <v>497.59383178364573</v>
      </c>
      <c r="K156" s="263" t="e">
        <f ca="1">_xll.RiskMean(C156)</f>
        <v>#NAME?</v>
      </c>
      <c r="L156" s="263" t="e">
        <f ca="1">_xll.RiskMean(D156)</f>
        <v>#NAME?</v>
      </c>
    </row>
    <row r="157" spans="1:13" x14ac:dyDescent="0.2">
      <c r="B157" s="269">
        <v>2035</v>
      </c>
      <c r="C157" s="263" t="e">
        <f ca="1">_xll.RiskDiscrete(MAX(INDEX($C$133:$Z$133,$B157-2016),0),1,_xll.RiskStatic(IF(Assumptions!$C$63=Assumptions!$B$62,I157,'Petroleum Model'!G157)))</f>
        <v>#NAME?</v>
      </c>
      <c r="D157" s="263" t="e">
        <f ca="1">_xll.RiskDiscrete(MAX(INDEX($C$132:$Z$132,$B157-2016),0),1,_xll.RiskStatic(IF(Assumptions!$C$63=Assumptions!$B$62,J157,'Petroleum Model'!H157)))</f>
        <v>#NAME?</v>
      </c>
      <c r="G157" s="113" t="e">
        <f t="shared" ca="1" si="48"/>
        <v>#NAME?</v>
      </c>
      <c r="H157" s="113" t="e">
        <f t="shared" ca="1" si="49"/>
        <v>#NAME?</v>
      </c>
      <c r="I157" s="273">
        <v>619.11818800878291</v>
      </c>
      <c r="J157" s="273">
        <v>465.57927042389849</v>
      </c>
      <c r="K157" s="263" t="e">
        <f ca="1">_xll.RiskMean(C157)</f>
        <v>#NAME?</v>
      </c>
      <c r="L157" s="263" t="e">
        <f ca="1">_xll.RiskMean(D157)</f>
        <v>#NAME?</v>
      </c>
    </row>
    <row r="158" spans="1:13" x14ac:dyDescent="0.2">
      <c r="A158" s="113"/>
      <c r="B158" s="269">
        <v>2036</v>
      </c>
      <c r="C158" s="263" t="e">
        <f ca="1">_xll.RiskDiscrete(MAX(INDEX($C$133:$Z$133,$B158-2016),0),1,_xll.RiskStatic(IF(Assumptions!$C$63=Assumptions!$B$62,I158,'Petroleum Model'!G158)))</f>
        <v>#NAME?</v>
      </c>
      <c r="D158" s="263" t="e">
        <f ca="1">_xll.RiskDiscrete(MAX(INDEX($C$132:$Z$132,$B158-2016),0),1,_xll.RiskStatic(IF(Assumptions!$C$63=Assumptions!$B$62,J158,'Petroleum Model'!H158)))</f>
        <v>#NAME?</v>
      </c>
      <c r="G158" s="113" t="e">
        <f t="shared" ca="1" si="48"/>
        <v>#NAME?</v>
      </c>
      <c r="H158" s="113" t="e">
        <f t="shared" ca="1" si="49"/>
        <v>#NAME?</v>
      </c>
      <c r="I158" s="273">
        <v>593.88047514682364</v>
      </c>
      <c r="J158" s="273">
        <v>441.68811477183482</v>
      </c>
      <c r="K158" s="263" t="e">
        <f ca="1">_xll.RiskMean(C158)</f>
        <v>#NAME?</v>
      </c>
      <c r="L158" s="263" t="e">
        <f ca="1">_xll.RiskMean(D158)</f>
        <v>#NAME?</v>
      </c>
    </row>
    <row r="159" spans="1:13" x14ac:dyDescent="0.2">
      <c r="A159" s="113"/>
      <c r="B159" s="269">
        <v>2037</v>
      </c>
      <c r="C159" s="263" t="e">
        <f ca="1">_xll.RiskDiscrete(MAX(INDEX($C$133:$Z$133,$B159-2016),0),1,_xll.RiskStatic(IF(Assumptions!$C$63=Assumptions!$B$62,I159,'Petroleum Model'!G159)))</f>
        <v>#NAME?</v>
      </c>
      <c r="D159" s="263" t="e">
        <f ca="1">_xll.RiskDiscrete(MAX(INDEX($C$132:$Z$132,$B159-2016),0),1,_xll.RiskStatic(IF(Assumptions!$C$63=Assumptions!$B$62,J159,'Petroleum Model'!H159)))</f>
        <v>#NAME?</v>
      </c>
      <c r="G159" s="113" t="e">
        <f t="shared" ca="1" si="48"/>
        <v>#NAME?</v>
      </c>
      <c r="H159" s="113" t="e">
        <f t="shared" ca="1" si="49"/>
        <v>#NAME?</v>
      </c>
      <c r="I159" s="273">
        <v>565.85120815039693</v>
      </c>
      <c r="J159" s="273">
        <v>413.24729700241943</v>
      </c>
      <c r="K159" s="263" t="e">
        <f ca="1">_xll.RiskMean(C159)</f>
        <v>#NAME?</v>
      </c>
      <c r="L159" s="263" t="e">
        <f ca="1">_xll.RiskMean(D159)</f>
        <v>#NAME?</v>
      </c>
    </row>
    <row r="160" spans="1:13" x14ac:dyDescent="0.2">
      <c r="A160" s="113"/>
      <c r="B160" s="269">
        <v>2038</v>
      </c>
      <c r="C160" s="263" t="e">
        <f ca="1">_xll.RiskDiscrete(MAX(INDEX($C$133:$Z$133,$B160-2016),0),1,_xll.RiskStatic(IF(Assumptions!$C$63=Assumptions!$B$62,I160,'Petroleum Model'!G160)))</f>
        <v>#NAME?</v>
      </c>
      <c r="D160" s="263" t="e">
        <f ca="1">_xll.RiskDiscrete(MAX(INDEX($C$132:$Z$132,$B160-2016),0),1,_xll.RiskStatic(IF(Assumptions!$C$63=Assumptions!$B$62,J160,'Petroleum Model'!H160)))</f>
        <v>#NAME?</v>
      </c>
      <c r="G160" s="113" t="e">
        <f t="shared" ca="1" si="48"/>
        <v>#NAME?</v>
      </c>
      <c r="H160" s="113" t="e">
        <f t="shared" ca="1" si="49"/>
        <v>#NAME?</v>
      </c>
      <c r="I160" s="273">
        <v>540.00978093676463</v>
      </c>
      <c r="J160" s="273">
        <v>381.90507061484772</v>
      </c>
      <c r="K160" s="263" t="e">
        <f ca="1">_xll.RiskMean(C160)</f>
        <v>#NAME?</v>
      </c>
      <c r="L160" s="263" t="e">
        <f ca="1">_xll.RiskMean(D160)</f>
        <v>#NAME?</v>
      </c>
    </row>
    <row r="161" spans="1:12" x14ac:dyDescent="0.2">
      <c r="A161" s="113"/>
      <c r="B161" s="269">
        <v>2039</v>
      </c>
      <c r="C161" s="263" t="e">
        <f ca="1">_xll.RiskDiscrete(MAX(INDEX($C$133:$Z$133,$B161-2016),0),1,_xll.RiskStatic(IF(Assumptions!$C$63=Assumptions!$B$62,I161,'Petroleum Model'!G161)))</f>
        <v>#NAME?</v>
      </c>
      <c r="D161" s="263" t="e">
        <f ca="1">_xll.RiskDiscrete(MAX(INDEX($C$132:$Z$132,$B161-2016),0),1,_xll.RiskStatic(IF(Assumptions!$C$63=Assumptions!$B$62,J161,'Petroleum Model'!H161)))</f>
        <v>#NAME?</v>
      </c>
      <c r="G161" s="113" t="e">
        <f t="shared" ca="1" si="48"/>
        <v>#NAME?</v>
      </c>
      <c r="H161" s="113" t="e">
        <f t="shared" ca="1" si="49"/>
        <v>#NAME?</v>
      </c>
      <c r="I161" s="273">
        <v>516.7823110238146</v>
      </c>
      <c r="J161" s="273">
        <v>359.05007252321514</v>
      </c>
      <c r="K161" s="263" t="e">
        <f ca="1">_xll.RiskMean(C161)</f>
        <v>#NAME?</v>
      </c>
      <c r="L161" s="263" t="e">
        <f ca="1">_xll.RiskMean(D161)</f>
        <v>#NAME?</v>
      </c>
    </row>
    <row r="162" spans="1:12" x14ac:dyDescent="0.2">
      <c r="A162" s="113"/>
      <c r="B162" s="269">
        <v>2040</v>
      </c>
      <c r="C162" s="263" t="e">
        <f ca="1">_xll.RiskDiscrete(MAX(INDEX($C$133:$Z$133,$B162-2016),0),1,_xll.RiskStatic(IF(Assumptions!$C$63=Assumptions!$B$62,I162,'Petroleum Model'!G162)))</f>
        <v>#NAME?</v>
      </c>
      <c r="D162" s="263" t="e">
        <f ca="1">_xll.RiskDiscrete(MAX(INDEX($C$132:$Z$132,$B162-2016),0),1,_xll.RiskStatic(IF(Assumptions!$C$63=Assumptions!$B$62,J162,'Petroleum Model'!H162)))</f>
        <v>#NAME?</v>
      </c>
      <c r="G162" s="113" t="e">
        <f t="shared" ca="1" si="48"/>
        <v>#NAME?</v>
      </c>
      <c r="H162" s="113" t="e">
        <f t="shared" ca="1" si="49"/>
        <v>#NAME?</v>
      </c>
      <c r="I162" s="273">
        <v>414.3941261122107</v>
      </c>
      <c r="J162" s="273">
        <v>294.90384650248211</v>
      </c>
      <c r="K162" s="263" t="e">
        <f ca="1">_xll.RiskMean(C162)</f>
        <v>#NAME?</v>
      </c>
      <c r="L162" s="263" t="e">
        <f ca="1">_xll.RiskMean(D162)</f>
        <v>#NAME?</v>
      </c>
    </row>
    <row r="163" spans="1:12" x14ac:dyDescent="0.2">
      <c r="A163" s="113"/>
      <c r="B163" s="113"/>
    </row>
    <row r="164" spans="1:12" ht="13.5" thickBot="1" x14ac:dyDescent="0.25">
      <c r="A164" s="113"/>
      <c r="B164" s="113"/>
      <c r="C164" s="113" t="s">
        <v>241</v>
      </c>
      <c r="D164" s="113" t="s">
        <v>242</v>
      </c>
      <c r="E164" s="113" t="s">
        <v>243</v>
      </c>
    </row>
    <row r="165" spans="1:12" x14ac:dyDescent="0.2">
      <c r="B165" s="113">
        <f>B139</f>
        <v>2017</v>
      </c>
      <c r="C165" s="275" t="e">
        <f t="shared" ref="C165:C188" ca="1" si="50">C139*$H$166+D139*$H$165</f>
        <v>#NAME?</v>
      </c>
      <c r="D165" s="275" t="e">
        <f ca="1">C139*0.25</f>
        <v>#NAME?</v>
      </c>
      <c r="E165" s="275" t="e">
        <f ca="1">C139*0.5</f>
        <v>#NAME?</v>
      </c>
      <c r="G165" s="261" t="s">
        <v>231</v>
      </c>
      <c r="H165" s="262">
        <v>1</v>
      </c>
    </row>
    <row r="166" spans="1:12" ht="13.5" thickBot="1" x14ac:dyDescent="0.25">
      <c r="B166" s="113">
        <f t="shared" ref="B166:B188" si="51">B140</f>
        <v>2018</v>
      </c>
      <c r="C166" s="275" t="e">
        <f t="shared" ca="1" si="50"/>
        <v>#NAME?</v>
      </c>
      <c r="D166" s="275" t="e">
        <f t="shared" ref="D166:D188" ca="1" si="52">C140*0.25</f>
        <v>#NAME?</v>
      </c>
      <c r="E166" s="275" t="e">
        <f t="shared" ref="E166:E188" ca="1" si="53">C140*0.5</f>
        <v>#NAME?</v>
      </c>
      <c r="G166" s="266" t="s">
        <v>232</v>
      </c>
      <c r="H166" s="267">
        <v>0.495</v>
      </c>
    </row>
    <row r="167" spans="1:12" x14ac:dyDescent="0.2">
      <c r="B167" s="113">
        <f t="shared" si="51"/>
        <v>2019</v>
      </c>
      <c r="C167" s="275" t="e">
        <f t="shared" ca="1" si="50"/>
        <v>#NAME?</v>
      </c>
      <c r="D167" s="275" t="e">
        <f t="shared" ca="1" si="52"/>
        <v>#NAME?</v>
      </c>
      <c r="E167" s="275" t="e">
        <f t="shared" ca="1" si="53"/>
        <v>#NAME?</v>
      </c>
    </row>
    <row r="168" spans="1:12" x14ac:dyDescent="0.2">
      <c r="B168" s="113">
        <f t="shared" si="51"/>
        <v>2020</v>
      </c>
      <c r="C168" s="275" t="e">
        <f t="shared" ca="1" si="50"/>
        <v>#NAME?</v>
      </c>
      <c r="D168" s="275" t="e">
        <f t="shared" ca="1" si="52"/>
        <v>#NAME?</v>
      </c>
      <c r="E168" s="275" t="e">
        <f t="shared" ca="1" si="53"/>
        <v>#NAME?</v>
      </c>
    </row>
    <row r="169" spans="1:12" x14ac:dyDescent="0.2">
      <c r="B169" s="113">
        <f t="shared" si="51"/>
        <v>2021</v>
      </c>
      <c r="C169" s="275" t="e">
        <f t="shared" ca="1" si="50"/>
        <v>#NAME?</v>
      </c>
      <c r="D169" s="275" t="e">
        <f t="shared" ca="1" si="52"/>
        <v>#NAME?</v>
      </c>
      <c r="E169" s="275" t="e">
        <f t="shared" ca="1" si="53"/>
        <v>#NAME?</v>
      </c>
    </row>
    <row r="170" spans="1:12" x14ac:dyDescent="0.2">
      <c r="B170" s="113">
        <f t="shared" si="51"/>
        <v>2022</v>
      </c>
      <c r="C170" s="275" t="e">
        <f t="shared" ca="1" si="50"/>
        <v>#NAME?</v>
      </c>
      <c r="D170" s="275" t="e">
        <f t="shared" ca="1" si="52"/>
        <v>#NAME?</v>
      </c>
      <c r="E170" s="275" t="e">
        <f t="shared" ca="1" si="53"/>
        <v>#NAME?</v>
      </c>
    </row>
    <row r="171" spans="1:12" x14ac:dyDescent="0.2">
      <c r="B171" s="113">
        <f t="shared" si="51"/>
        <v>2023</v>
      </c>
      <c r="C171" s="275" t="e">
        <f t="shared" ca="1" si="50"/>
        <v>#NAME?</v>
      </c>
      <c r="D171" s="275" t="e">
        <f t="shared" ca="1" si="52"/>
        <v>#NAME?</v>
      </c>
      <c r="E171" s="275" t="e">
        <f t="shared" ca="1" si="53"/>
        <v>#NAME?</v>
      </c>
    </row>
    <row r="172" spans="1:12" x14ac:dyDescent="0.2">
      <c r="B172" s="113">
        <f t="shared" si="51"/>
        <v>2024</v>
      </c>
      <c r="C172" s="275" t="e">
        <f t="shared" ca="1" si="50"/>
        <v>#NAME?</v>
      </c>
      <c r="D172" s="275" t="e">
        <f t="shared" ca="1" si="52"/>
        <v>#NAME?</v>
      </c>
      <c r="E172" s="275" t="e">
        <f t="shared" ca="1" si="53"/>
        <v>#NAME?</v>
      </c>
    </row>
    <row r="173" spans="1:12" x14ac:dyDescent="0.2">
      <c r="B173" s="113">
        <f t="shared" si="51"/>
        <v>2025</v>
      </c>
      <c r="C173" s="275" t="e">
        <f t="shared" ca="1" si="50"/>
        <v>#NAME?</v>
      </c>
      <c r="D173" s="275" t="e">
        <f t="shared" ca="1" si="52"/>
        <v>#NAME?</v>
      </c>
      <c r="E173" s="275" t="e">
        <f t="shared" ca="1" si="53"/>
        <v>#NAME?</v>
      </c>
    </row>
    <row r="174" spans="1:12" x14ac:dyDescent="0.2">
      <c r="B174" s="113">
        <f t="shared" si="51"/>
        <v>2026</v>
      </c>
      <c r="C174" s="275" t="e">
        <f t="shared" ca="1" si="50"/>
        <v>#NAME?</v>
      </c>
      <c r="D174" s="275" t="e">
        <f t="shared" ca="1" si="52"/>
        <v>#NAME?</v>
      </c>
      <c r="E174" s="275" t="e">
        <f t="shared" ca="1" si="53"/>
        <v>#NAME?</v>
      </c>
    </row>
    <row r="175" spans="1:12" x14ac:dyDescent="0.2">
      <c r="B175" s="113">
        <f t="shared" si="51"/>
        <v>2027</v>
      </c>
      <c r="C175" s="275" t="e">
        <f t="shared" ca="1" si="50"/>
        <v>#NAME?</v>
      </c>
      <c r="D175" s="275" t="e">
        <f t="shared" ca="1" si="52"/>
        <v>#NAME?</v>
      </c>
      <c r="E175" s="275" t="e">
        <f t="shared" ca="1" si="53"/>
        <v>#NAME?</v>
      </c>
    </row>
    <row r="176" spans="1:12" x14ac:dyDescent="0.2">
      <c r="A176" s="113"/>
      <c r="B176" s="113">
        <f t="shared" si="51"/>
        <v>2028</v>
      </c>
      <c r="C176" s="275" t="e">
        <f t="shared" ca="1" si="50"/>
        <v>#NAME?</v>
      </c>
      <c r="D176" s="275" t="e">
        <f t="shared" ca="1" si="52"/>
        <v>#NAME?</v>
      </c>
      <c r="E176" s="275" t="e">
        <f t="shared" ca="1" si="53"/>
        <v>#NAME?</v>
      </c>
    </row>
    <row r="177" spans="1:5" x14ac:dyDescent="0.2">
      <c r="A177" s="113"/>
      <c r="B177" s="113">
        <f t="shared" si="51"/>
        <v>2029</v>
      </c>
      <c r="C177" s="275" t="e">
        <f t="shared" ca="1" si="50"/>
        <v>#NAME?</v>
      </c>
      <c r="D177" s="275" t="e">
        <f t="shared" ca="1" si="52"/>
        <v>#NAME?</v>
      </c>
      <c r="E177" s="275" t="e">
        <f t="shared" ca="1" si="53"/>
        <v>#NAME?</v>
      </c>
    </row>
    <row r="178" spans="1:5" x14ac:dyDescent="0.2">
      <c r="B178" s="113">
        <f t="shared" si="51"/>
        <v>2030</v>
      </c>
      <c r="C178" s="275" t="e">
        <f t="shared" ca="1" si="50"/>
        <v>#NAME?</v>
      </c>
      <c r="D178" s="275" t="e">
        <f t="shared" ca="1" si="52"/>
        <v>#NAME?</v>
      </c>
      <c r="E178" s="275" t="e">
        <f t="shared" ca="1" si="53"/>
        <v>#NAME?</v>
      </c>
    </row>
    <row r="179" spans="1:5" x14ac:dyDescent="0.2">
      <c r="B179" s="113">
        <f t="shared" si="51"/>
        <v>2031</v>
      </c>
      <c r="C179" s="275" t="e">
        <f t="shared" ca="1" si="50"/>
        <v>#NAME?</v>
      </c>
      <c r="D179" s="275" t="e">
        <f t="shared" ca="1" si="52"/>
        <v>#NAME?</v>
      </c>
      <c r="E179" s="275" t="e">
        <f t="shared" ca="1" si="53"/>
        <v>#NAME?</v>
      </c>
    </row>
    <row r="180" spans="1:5" x14ac:dyDescent="0.2">
      <c r="B180" s="113">
        <f t="shared" si="51"/>
        <v>2032</v>
      </c>
      <c r="C180" s="275" t="e">
        <f t="shared" ca="1" si="50"/>
        <v>#NAME?</v>
      </c>
      <c r="D180" s="275" t="e">
        <f t="shared" ca="1" si="52"/>
        <v>#NAME?</v>
      </c>
      <c r="E180" s="275" t="e">
        <f t="shared" ca="1" si="53"/>
        <v>#NAME?</v>
      </c>
    </row>
    <row r="181" spans="1:5" x14ac:dyDescent="0.2">
      <c r="B181" s="113">
        <f t="shared" si="51"/>
        <v>2033</v>
      </c>
      <c r="C181" s="275" t="e">
        <f t="shared" ca="1" si="50"/>
        <v>#NAME?</v>
      </c>
      <c r="D181" s="275" t="e">
        <f t="shared" ca="1" si="52"/>
        <v>#NAME?</v>
      </c>
      <c r="E181" s="275" t="e">
        <f t="shared" ca="1" si="53"/>
        <v>#NAME?</v>
      </c>
    </row>
    <row r="182" spans="1:5" x14ac:dyDescent="0.2">
      <c r="B182" s="113">
        <f t="shared" si="51"/>
        <v>2034</v>
      </c>
      <c r="C182" s="275" t="e">
        <f t="shared" ca="1" si="50"/>
        <v>#NAME?</v>
      </c>
      <c r="D182" s="275" t="e">
        <f t="shared" ca="1" si="52"/>
        <v>#NAME?</v>
      </c>
      <c r="E182" s="275" t="e">
        <f t="shared" ca="1" si="53"/>
        <v>#NAME?</v>
      </c>
    </row>
    <row r="183" spans="1:5" x14ac:dyDescent="0.2">
      <c r="B183" s="113">
        <f t="shared" si="51"/>
        <v>2035</v>
      </c>
      <c r="C183" s="275" t="e">
        <f t="shared" ca="1" si="50"/>
        <v>#NAME?</v>
      </c>
      <c r="D183" s="275" t="e">
        <f t="shared" ca="1" si="52"/>
        <v>#NAME?</v>
      </c>
      <c r="E183" s="275" t="e">
        <f t="shared" ca="1" si="53"/>
        <v>#NAME?</v>
      </c>
    </row>
    <row r="184" spans="1:5" x14ac:dyDescent="0.2">
      <c r="B184" s="113">
        <f t="shared" si="51"/>
        <v>2036</v>
      </c>
      <c r="C184" s="275" t="e">
        <f t="shared" ca="1" si="50"/>
        <v>#NAME?</v>
      </c>
      <c r="D184" s="275" t="e">
        <f t="shared" ca="1" si="52"/>
        <v>#NAME?</v>
      </c>
      <c r="E184" s="275" t="e">
        <f t="shared" ca="1" si="53"/>
        <v>#NAME?</v>
      </c>
    </row>
    <row r="185" spans="1:5" x14ac:dyDescent="0.2">
      <c r="B185" s="113">
        <f t="shared" si="51"/>
        <v>2037</v>
      </c>
      <c r="C185" s="275" t="e">
        <f t="shared" ca="1" si="50"/>
        <v>#NAME?</v>
      </c>
      <c r="D185" s="275" t="e">
        <f t="shared" ca="1" si="52"/>
        <v>#NAME?</v>
      </c>
      <c r="E185" s="275" t="e">
        <f t="shared" ca="1" si="53"/>
        <v>#NAME?</v>
      </c>
    </row>
    <row r="186" spans="1:5" x14ac:dyDescent="0.2">
      <c r="B186" s="113">
        <f t="shared" si="51"/>
        <v>2038</v>
      </c>
      <c r="C186" s="275" t="e">
        <f t="shared" ca="1" si="50"/>
        <v>#NAME?</v>
      </c>
      <c r="D186" s="275" t="e">
        <f t="shared" ca="1" si="52"/>
        <v>#NAME?</v>
      </c>
      <c r="E186" s="275" t="e">
        <f t="shared" ca="1" si="53"/>
        <v>#NAME?</v>
      </c>
    </row>
    <row r="187" spans="1:5" x14ac:dyDescent="0.2">
      <c r="B187" s="113">
        <f t="shared" si="51"/>
        <v>2039</v>
      </c>
      <c r="C187" s="275" t="e">
        <f t="shared" ca="1" si="50"/>
        <v>#NAME?</v>
      </c>
      <c r="D187" s="275" t="e">
        <f t="shared" ca="1" si="52"/>
        <v>#NAME?</v>
      </c>
      <c r="E187" s="275" t="e">
        <f t="shared" ca="1" si="53"/>
        <v>#NAME?</v>
      </c>
    </row>
    <row r="188" spans="1:5" x14ac:dyDescent="0.2">
      <c r="B188" s="113">
        <f t="shared" si="51"/>
        <v>2040</v>
      </c>
      <c r="C188" s="275" t="e">
        <f t="shared" ca="1" si="50"/>
        <v>#NAME?</v>
      </c>
      <c r="D188" s="275" t="e">
        <f t="shared" ca="1" si="52"/>
        <v>#NAME?</v>
      </c>
      <c r="E188" s="275" t="e">
        <f t="shared" ca="1" si="53"/>
        <v>#NAME?</v>
      </c>
    </row>
    <row r="189" spans="1:5" x14ac:dyDescent="0.2">
      <c r="B189" s="113"/>
    </row>
    <row r="190" spans="1:5" x14ac:dyDescent="0.2">
      <c r="B190" s="113"/>
    </row>
    <row r="191" spans="1:5" x14ac:dyDescent="0.2">
      <c r="A191" s="259"/>
      <c r="B191" s="259"/>
      <c r="C191" s="260"/>
      <c r="D191" s="260"/>
    </row>
    <row r="192" spans="1:5" x14ac:dyDescent="0.2">
      <c r="A192" s="259" t="s">
        <v>228</v>
      </c>
      <c r="B192" s="259"/>
      <c r="C192" s="259" t="s">
        <v>229</v>
      </c>
      <c r="D192" s="260" t="s">
        <v>230</v>
      </c>
    </row>
    <row r="193" spans="1:4" x14ac:dyDescent="0.2">
      <c r="A193" s="264"/>
      <c r="B193" s="259"/>
      <c r="C193" s="259">
        <v>0.01</v>
      </c>
      <c r="D193" s="265">
        <v>0</v>
      </c>
    </row>
    <row r="194" spans="1:4" x14ac:dyDescent="0.2">
      <c r="A194" s="259"/>
      <c r="B194" s="259"/>
      <c r="C194" s="268">
        <v>15.01</v>
      </c>
      <c r="D194" s="265">
        <v>0.01</v>
      </c>
    </row>
    <row r="195" spans="1:4" x14ac:dyDescent="0.2">
      <c r="A195" s="259"/>
      <c r="B195" s="259"/>
      <c r="C195" s="268">
        <v>17.510000000000002</v>
      </c>
      <c r="D195" s="260">
        <v>0.02</v>
      </c>
    </row>
    <row r="196" spans="1:4" x14ac:dyDescent="0.2">
      <c r="A196" s="259"/>
      <c r="B196" s="259"/>
      <c r="C196" s="268">
        <v>20.010000000000002</v>
      </c>
      <c r="D196" s="260">
        <v>0.03</v>
      </c>
    </row>
    <row r="197" spans="1:4" x14ac:dyDescent="0.2">
      <c r="A197" s="259"/>
      <c r="B197" s="259"/>
      <c r="C197" s="268">
        <v>25.01</v>
      </c>
      <c r="D197" s="260">
        <v>0.04</v>
      </c>
    </row>
    <row r="198" spans="1:4" x14ac:dyDescent="0.2">
      <c r="A198" s="259"/>
      <c r="B198" s="259"/>
      <c r="C198" s="265"/>
      <c r="D198" s="260"/>
    </row>
    <row r="199" spans="1:4" x14ac:dyDescent="0.2">
      <c r="A199" s="259" t="s">
        <v>236</v>
      </c>
      <c r="B199" s="259"/>
      <c r="C199" s="260" t="s">
        <v>237</v>
      </c>
      <c r="D199" s="260" t="s">
        <v>238</v>
      </c>
    </row>
    <row r="200" spans="1:4" x14ac:dyDescent="0.2">
      <c r="A200" s="264"/>
      <c r="B200" s="259"/>
      <c r="C200" s="260">
        <v>-1</v>
      </c>
      <c r="D200" s="260">
        <v>8</v>
      </c>
    </row>
    <row r="201" spans="1:4" x14ac:dyDescent="0.2">
      <c r="A201" s="259"/>
      <c r="B201" s="259"/>
      <c r="C201" s="260">
        <v>10</v>
      </c>
      <c r="D201" s="260">
        <v>8</v>
      </c>
    </row>
    <row r="202" spans="1:4" x14ac:dyDescent="0.2">
      <c r="A202" s="259"/>
      <c r="B202" s="259"/>
      <c r="C202" s="260">
        <v>20</v>
      </c>
      <c r="D202" s="260">
        <v>8</v>
      </c>
    </row>
    <row r="203" spans="1:4" x14ac:dyDescent="0.2">
      <c r="A203" s="259"/>
      <c r="B203" s="259"/>
      <c r="C203" s="260">
        <v>30</v>
      </c>
      <c r="D203" s="260">
        <v>8</v>
      </c>
    </row>
    <row r="204" spans="1:4" x14ac:dyDescent="0.2">
      <c r="A204" s="259"/>
      <c r="B204" s="259"/>
      <c r="C204" s="260">
        <v>40</v>
      </c>
      <c r="D204" s="260">
        <v>8</v>
      </c>
    </row>
    <row r="205" spans="1:4" x14ac:dyDescent="0.2">
      <c r="A205" s="259"/>
      <c r="B205" s="259"/>
      <c r="C205" s="260">
        <v>50</v>
      </c>
      <c r="D205" s="260">
        <v>8</v>
      </c>
    </row>
    <row r="206" spans="1:4" x14ac:dyDescent="0.2">
      <c r="A206" s="259"/>
      <c r="B206" s="259"/>
      <c r="C206" s="260">
        <v>60</v>
      </c>
      <c r="D206" s="260">
        <v>8</v>
      </c>
    </row>
    <row r="207" spans="1:4" x14ac:dyDescent="0.2">
      <c r="A207" s="259"/>
      <c r="B207" s="259"/>
      <c r="C207" s="260">
        <v>70</v>
      </c>
      <c r="D207" s="260">
        <v>8</v>
      </c>
    </row>
    <row r="208" spans="1:4" x14ac:dyDescent="0.2">
      <c r="A208" s="259"/>
      <c r="B208" s="259"/>
      <c r="C208" s="260">
        <v>80</v>
      </c>
      <c r="D208" s="260">
        <v>7</v>
      </c>
    </row>
    <row r="209" spans="1:4" x14ac:dyDescent="0.2">
      <c r="A209" s="259"/>
      <c r="B209" s="259"/>
      <c r="C209" s="260">
        <v>90</v>
      </c>
      <c r="D209" s="260">
        <v>6</v>
      </c>
    </row>
    <row r="210" spans="1:4" x14ac:dyDescent="0.2">
      <c r="A210" s="259"/>
      <c r="B210" s="259"/>
      <c r="C210" s="260">
        <v>100</v>
      </c>
      <c r="D210" s="260">
        <v>5</v>
      </c>
    </row>
    <row r="211" spans="1:4" x14ac:dyDescent="0.2">
      <c r="A211" s="259"/>
      <c r="B211" s="259"/>
      <c r="C211" s="260">
        <v>110</v>
      </c>
      <c r="D211" s="260">
        <v>4</v>
      </c>
    </row>
    <row r="212" spans="1:4" x14ac:dyDescent="0.2">
      <c r="A212" s="259"/>
      <c r="B212" s="259"/>
      <c r="C212" s="260">
        <v>120</v>
      </c>
      <c r="D212" s="260">
        <v>3</v>
      </c>
    </row>
    <row r="213" spans="1:4" x14ac:dyDescent="0.2">
      <c r="A213" s="259"/>
      <c r="B213" s="259"/>
      <c r="C213" s="260">
        <v>130</v>
      </c>
      <c r="D213" s="260">
        <v>2</v>
      </c>
    </row>
    <row r="214" spans="1:4" x14ac:dyDescent="0.2">
      <c r="A214" s="259"/>
      <c r="B214" s="259"/>
      <c r="C214" s="260">
        <v>140</v>
      </c>
      <c r="D214" s="260">
        <v>1</v>
      </c>
    </row>
    <row r="215" spans="1:4" x14ac:dyDescent="0.2">
      <c r="A215" s="259"/>
      <c r="B215" s="259"/>
      <c r="C215" s="260">
        <v>150</v>
      </c>
      <c r="D215" s="260">
        <v>0</v>
      </c>
    </row>
    <row r="216" spans="1:4" x14ac:dyDescent="0.2">
      <c r="A216" s="259"/>
      <c r="B216" s="259"/>
      <c r="C216" s="260">
        <v>160</v>
      </c>
      <c r="D216" s="260">
        <v>0</v>
      </c>
    </row>
  </sheetData>
  <dataValidations count="2">
    <dataValidation type="list" allowBlank="1" showInputMessage="1" showErrorMessage="1" sqref="C8:Z8 C26:Z26">
      <formula1>"Actual,Forecast,User Input"</formula1>
    </dataValidation>
    <dataValidation type="list" allowBlank="1" showInputMessage="1" showErrorMessage="1" sqref="AA26:AJ26 AA8:AJ8">
      <formula1>#REF!</formula1>
    </dataValidation>
  </dataValidations>
  <pageMargins left="0.75" right="0.75" top="1" bottom="1" header="0.5" footer="0.5"/>
  <pageSetup scale="10" orientation="landscape" copies="2" r:id="rId1"/>
  <headerFooter alignWithMargins="0">
    <oddHeader>&amp;L&amp;8Alaska Department of Revenue
Tax Division&amp;C&amp;8Privileged and Confidential&amp;R&amp;8Printed:  &amp;D &amp;T
Page: &amp;P of &amp;N</oddHeader>
    <oddFooter>&amp;L&amp;8&amp;Z&amp;F&amp;R&amp;8&amp;A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RiskSerializationData</vt:lpstr>
      <vt:lpstr>Introduction</vt:lpstr>
      <vt:lpstr>Assumptions</vt:lpstr>
      <vt:lpstr>Fund Model</vt:lpstr>
      <vt:lpstr>Back-up&gt;&gt;</vt:lpstr>
      <vt:lpstr>Key Definitions</vt:lpstr>
      <vt:lpstr>Petroleum Model</vt:lpstr>
    </vt:vector>
  </TitlesOfParts>
  <Company>State of Alaska - Department of Revenue</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W Herbert (DOR)</dc:creator>
  <cp:lastModifiedBy>Administrator</cp:lastModifiedBy>
  <cp:lastPrinted>2016-01-21T23:33:59Z</cp:lastPrinted>
  <dcterms:created xsi:type="dcterms:W3CDTF">2015-09-18T22:11:46Z</dcterms:created>
  <dcterms:modified xsi:type="dcterms:W3CDTF">2016-02-22T19:23:15Z</dcterms:modified>
</cp:coreProperties>
</file>