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 activeTab="4"/>
  </bookViews>
  <sheets>
    <sheet name="2011 analysis-6%" sheetId="2" r:id="rId1"/>
    <sheet name="4.5%" sheetId="3" r:id="rId2"/>
    <sheet name="4.75%" sheetId="4" r:id="rId3"/>
    <sheet name="5%" sheetId="5" r:id="rId4"/>
    <sheet name="5.25%" sheetId="6" r:id="rId5"/>
  </sheets>
  <definedNames>
    <definedName name="_xlnm.Print_Area" localSheetId="0">'2011 analysis-6%'!$A$1:$S$50</definedName>
  </definedNames>
  <calcPr calcId="125725"/>
</workbook>
</file>

<file path=xl/calcChain.xml><?xml version="1.0" encoding="utf-8"?>
<calcChain xmlns="http://schemas.openxmlformats.org/spreadsheetml/2006/main">
  <c r="A50" i="4"/>
  <c r="A50" i="5"/>
  <c r="A50" i="6"/>
  <c r="A50" i="3"/>
  <c r="A49" i="4"/>
  <c r="A49" i="5"/>
  <c r="A49" i="6"/>
  <c r="A49" i="3"/>
  <c r="G11" i="4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11" i="5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11" i="6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11" i="3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H10" i="4"/>
  <c r="H10" i="5"/>
  <c r="H10" i="6"/>
  <c r="H10" i="3"/>
  <c r="G10" i="4"/>
  <c r="G10" i="5"/>
  <c r="G10" i="6"/>
  <c r="G10" i="3"/>
  <c r="C10" i="5" l="1"/>
  <c r="F45" i="6"/>
  <c r="I44"/>
  <c r="I43"/>
  <c r="I42"/>
  <c r="I41"/>
  <c r="I40"/>
  <c r="I45" s="1"/>
  <c r="I9"/>
  <c r="B2"/>
  <c r="F45" i="5"/>
  <c r="I44"/>
  <c r="I43"/>
  <c r="I42"/>
  <c r="I41"/>
  <c r="I40"/>
  <c r="I45" s="1"/>
  <c r="I9"/>
  <c r="B2"/>
  <c r="F45" i="4"/>
  <c r="I44"/>
  <c r="I43"/>
  <c r="I42"/>
  <c r="I41"/>
  <c r="I40"/>
  <c r="I45" s="1"/>
  <c r="I9"/>
  <c r="B2"/>
  <c r="F45" i="3"/>
  <c r="I44"/>
  <c r="I43"/>
  <c r="I42"/>
  <c r="I41"/>
  <c r="I40"/>
  <c r="I45" s="1"/>
  <c r="I9"/>
  <c r="B2"/>
  <c r="K15" i="2"/>
  <c r="K14"/>
  <c r="K13"/>
  <c r="K12"/>
  <c r="K11"/>
  <c r="E10" i="6" l="1"/>
  <c r="C10" s="1"/>
  <c r="D10" s="1"/>
  <c r="I10" s="1"/>
  <c r="F11" s="1"/>
  <c r="E29"/>
  <c r="K29" s="1"/>
  <c r="E28"/>
  <c r="K28" s="1"/>
  <c r="E27"/>
  <c r="K27" s="1"/>
  <c r="E26"/>
  <c r="K26" s="1"/>
  <c r="E25"/>
  <c r="K25" s="1"/>
  <c r="E24"/>
  <c r="K24" s="1"/>
  <c r="E23"/>
  <c r="K23" s="1"/>
  <c r="E22"/>
  <c r="K22" s="1"/>
  <c r="E21"/>
  <c r="K21" s="1"/>
  <c r="E20"/>
  <c r="K20" s="1"/>
  <c r="E19"/>
  <c r="K19" s="1"/>
  <c r="E18"/>
  <c r="K18" s="1"/>
  <c r="E17"/>
  <c r="K17" s="1"/>
  <c r="E16"/>
  <c r="K16" s="1"/>
  <c r="E15"/>
  <c r="K15" s="1"/>
  <c r="E14"/>
  <c r="K14" s="1"/>
  <c r="E13"/>
  <c r="K13" s="1"/>
  <c r="E12"/>
  <c r="K12" s="1"/>
  <c r="E11"/>
  <c r="K11" s="1"/>
  <c r="E10" i="5"/>
  <c r="D10" s="1"/>
  <c r="I10" s="1"/>
  <c r="E29"/>
  <c r="K29" s="1"/>
  <c r="E28"/>
  <c r="K28" s="1"/>
  <c r="E27"/>
  <c r="K27" s="1"/>
  <c r="E26"/>
  <c r="K26" s="1"/>
  <c r="E25"/>
  <c r="K25" s="1"/>
  <c r="E24"/>
  <c r="K24" s="1"/>
  <c r="E23"/>
  <c r="K23" s="1"/>
  <c r="E22"/>
  <c r="K22" s="1"/>
  <c r="E21"/>
  <c r="K21" s="1"/>
  <c r="E20"/>
  <c r="K20" s="1"/>
  <c r="E19"/>
  <c r="K19" s="1"/>
  <c r="E18"/>
  <c r="K18" s="1"/>
  <c r="E17"/>
  <c r="K17" s="1"/>
  <c r="E16"/>
  <c r="K16" s="1"/>
  <c r="E15"/>
  <c r="K15" s="1"/>
  <c r="E14"/>
  <c r="K14" s="1"/>
  <c r="E13"/>
  <c r="K13" s="1"/>
  <c r="E12"/>
  <c r="K12" s="1"/>
  <c r="E11"/>
  <c r="K11" s="1"/>
  <c r="E10" i="4"/>
  <c r="C10" s="1"/>
  <c r="D10" s="1"/>
  <c r="I10" s="1"/>
  <c r="F11" s="1"/>
  <c r="E29"/>
  <c r="K29" s="1"/>
  <c r="E28"/>
  <c r="K28" s="1"/>
  <c r="E27"/>
  <c r="K27" s="1"/>
  <c r="E26"/>
  <c r="K26" s="1"/>
  <c r="E25"/>
  <c r="K25" s="1"/>
  <c r="E24"/>
  <c r="K24" s="1"/>
  <c r="E23"/>
  <c r="K23" s="1"/>
  <c r="E22"/>
  <c r="K22" s="1"/>
  <c r="E21"/>
  <c r="K21" s="1"/>
  <c r="E20"/>
  <c r="K20" s="1"/>
  <c r="E19"/>
  <c r="K19" s="1"/>
  <c r="E18"/>
  <c r="K18" s="1"/>
  <c r="E17"/>
  <c r="K17" s="1"/>
  <c r="E16"/>
  <c r="K16" s="1"/>
  <c r="E15"/>
  <c r="K15" s="1"/>
  <c r="E14"/>
  <c r="K14" s="1"/>
  <c r="E13"/>
  <c r="K13" s="1"/>
  <c r="E12"/>
  <c r="K12" s="1"/>
  <c r="E11"/>
  <c r="K11" s="1"/>
  <c r="E10" i="3"/>
  <c r="C10" s="1"/>
  <c r="D10" s="1"/>
  <c r="I10" s="1"/>
  <c r="F11" s="1"/>
  <c r="E29"/>
  <c r="K29" s="1"/>
  <c r="E28"/>
  <c r="K28" s="1"/>
  <c r="E27"/>
  <c r="K27" s="1"/>
  <c r="E26"/>
  <c r="K26" s="1"/>
  <c r="E25"/>
  <c r="K25" s="1"/>
  <c r="E24"/>
  <c r="K24" s="1"/>
  <c r="E23"/>
  <c r="K23" s="1"/>
  <c r="E22"/>
  <c r="K22" s="1"/>
  <c r="E21"/>
  <c r="K21" s="1"/>
  <c r="E20"/>
  <c r="K20" s="1"/>
  <c r="E19"/>
  <c r="K19" s="1"/>
  <c r="E18"/>
  <c r="K18" s="1"/>
  <c r="E17"/>
  <c r="K17" s="1"/>
  <c r="E16"/>
  <c r="K16" s="1"/>
  <c r="E15"/>
  <c r="K15" s="1"/>
  <c r="E14"/>
  <c r="K14" s="1"/>
  <c r="E13"/>
  <c r="K13" s="1"/>
  <c r="E12"/>
  <c r="K12" s="1"/>
  <c r="E11"/>
  <c r="K11" s="1"/>
  <c r="K16" i="2"/>
  <c r="E10"/>
  <c r="E11"/>
  <c r="K29"/>
  <c r="K28"/>
  <c r="K27"/>
  <c r="K26"/>
  <c r="K25"/>
  <c r="K24"/>
  <c r="K23"/>
  <c r="K22"/>
  <c r="K21"/>
  <c r="K20"/>
  <c r="K19"/>
  <c r="K18"/>
  <c r="K17"/>
  <c r="B2"/>
  <c r="I44"/>
  <c r="I43"/>
  <c r="I45" s="1"/>
  <c r="I42"/>
  <c r="I41"/>
  <c r="I40"/>
  <c r="F45"/>
  <c r="I9"/>
  <c r="F11" i="5" l="1"/>
  <c r="L11" s="1"/>
  <c r="L11" i="6"/>
  <c r="J10"/>
  <c r="C11" s="1"/>
  <c r="D11" s="1"/>
  <c r="I11" s="1"/>
  <c r="J10" i="5"/>
  <c r="C11" s="1"/>
  <c r="D11" s="1"/>
  <c r="I11" s="1"/>
  <c r="L11" i="4"/>
  <c r="J10"/>
  <c r="C11"/>
  <c r="D11" s="1"/>
  <c r="I11" s="1"/>
  <c r="L11" i="3"/>
  <c r="J10"/>
  <c r="C11" s="1"/>
  <c r="D11" s="1"/>
  <c r="I11" s="1"/>
  <c r="E29" i="2"/>
  <c r="E27"/>
  <c r="E25"/>
  <c r="E23"/>
  <c r="E21"/>
  <c r="E19"/>
  <c r="E17"/>
  <c r="E15"/>
  <c r="E13"/>
  <c r="E28"/>
  <c r="E26"/>
  <c r="E24"/>
  <c r="E22"/>
  <c r="E20"/>
  <c r="E18"/>
  <c r="E16"/>
  <c r="E14"/>
  <c r="E12"/>
  <c r="C10"/>
  <c r="D10" s="1"/>
  <c r="I10" s="1"/>
  <c r="F11" l="1"/>
  <c r="L11" s="1"/>
  <c r="F12" i="6"/>
  <c r="L12" s="1"/>
  <c r="F12" i="5"/>
  <c r="F12" i="4"/>
  <c r="L12" s="1"/>
  <c r="F12" i="3"/>
  <c r="L12" s="1"/>
  <c r="J11" i="6"/>
  <c r="C12" s="1"/>
  <c r="D12" s="1"/>
  <c r="I12" s="1"/>
  <c r="J11" i="5"/>
  <c r="C12" s="1"/>
  <c r="D12" s="1"/>
  <c r="L12"/>
  <c r="J11" i="4"/>
  <c r="C12" s="1"/>
  <c r="D12" s="1"/>
  <c r="I12" s="1"/>
  <c r="J11" i="3"/>
  <c r="C12" s="1"/>
  <c r="D12" s="1"/>
  <c r="J10" i="2"/>
  <c r="C11" s="1"/>
  <c r="D11" s="1"/>
  <c r="I12" i="5" l="1"/>
  <c r="J12" s="1"/>
  <c r="C13" s="1"/>
  <c r="D13" s="1"/>
  <c r="F13" i="6"/>
  <c r="F13" i="4"/>
  <c r="L13" s="1"/>
  <c r="I12" i="3"/>
  <c r="J12" i="6"/>
  <c r="C13" s="1"/>
  <c r="D13" s="1"/>
  <c r="I13" s="1"/>
  <c r="L13"/>
  <c r="J12" i="4"/>
  <c r="C13" s="1"/>
  <c r="D13" s="1"/>
  <c r="I11" i="2"/>
  <c r="F13" i="5" l="1"/>
  <c r="L13" s="1"/>
  <c r="F12" i="2"/>
  <c r="F14" i="6"/>
  <c r="L14" s="1"/>
  <c r="F13" i="3"/>
  <c r="L13" s="1"/>
  <c r="L12" i="2"/>
  <c r="J12" i="3"/>
  <c r="C13" s="1"/>
  <c r="D13" s="1"/>
  <c r="J13" i="6"/>
  <c r="C14" s="1"/>
  <c r="D14" s="1"/>
  <c r="I14" s="1"/>
  <c r="I13" i="4"/>
  <c r="J11" i="2"/>
  <c r="C12" s="1"/>
  <c r="D12" s="1"/>
  <c r="I12" s="1"/>
  <c r="I13" i="5" l="1"/>
  <c r="F14" s="1"/>
  <c r="L14" s="1"/>
  <c r="F13" i="2"/>
  <c r="F15" i="6"/>
  <c r="L15" s="1"/>
  <c r="F14" i="4"/>
  <c r="L14" s="1"/>
  <c r="I13" i="3"/>
  <c r="J12" i="2"/>
  <c r="C13" s="1"/>
  <c r="D13" s="1"/>
  <c r="J14" i="6"/>
  <c r="C15" s="1"/>
  <c r="D15" s="1"/>
  <c r="J13" i="4"/>
  <c r="C14" s="1"/>
  <c r="D14" s="1"/>
  <c r="L13" i="2"/>
  <c r="J13" i="5" l="1"/>
  <c r="C14" s="1"/>
  <c r="D14" s="1"/>
  <c r="F14" i="3"/>
  <c r="L14" s="1"/>
  <c r="J13"/>
  <c r="C14" s="1"/>
  <c r="D14" s="1"/>
  <c r="I15" i="6"/>
  <c r="I14" i="5"/>
  <c r="I14" i="4"/>
  <c r="I13" i="2"/>
  <c r="I14" i="3" l="1"/>
  <c r="J14" s="1"/>
  <c r="C15" s="1"/>
  <c r="D15" s="1"/>
  <c r="F14" i="2"/>
  <c r="F16" i="6"/>
  <c r="L16" s="1"/>
  <c r="F15" i="5"/>
  <c r="L15" s="1"/>
  <c r="F15" i="4"/>
  <c r="L15" s="1"/>
  <c r="L14" i="2"/>
  <c r="J13"/>
  <c r="C14" s="1"/>
  <c r="D14" s="1"/>
  <c r="J15" i="6"/>
  <c r="C16" s="1"/>
  <c r="D16" s="1"/>
  <c r="J14" i="5"/>
  <c r="C15" s="1"/>
  <c r="D15" s="1"/>
  <c r="J14" i="4"/>
  <c r="C15" s="1"/>
  <c r="D15" s="1"/>
  <c r="I16" i="6" l="1"/>
  <c r="F15" i="3"/>
  <c r="L15" s="1"/>
  <c r="I15" i="5"/>
  <c r="F17" i="6"/>
  <c r="L17" s="1"/>
  <c r="F16" i="5"/>
  <c r="L16" s="1"/>
  <c r="J16" i="6"/>
  <c r="C17" s="1"/>
  <c r="D17" s="1"/>
  <c r="J15" i="5"/>
  <c r="C16" s="1"/>
  <c r="D16" s="1"/>
  <c r="I15" i="4"/>
  <c r="I14" i="2"/>
  <c r="I15" i="3" l="1"/>
  <c r="J15" s="1"/>
  <c r="C16" s="1"/>
  <c r="D16" s="1"/>
  <c r="I16" i="5"/>
  <c r="J16" s="1"/>
  <c r="C17" s="1"/>
  <c r="D17" s="1"/>
  <c r="F16" i="3"/>
  <c r="L16" s="1"/>
  <c r="I17" i="6"/>
  <c r="J17" s="1"/>
  <c r="C18" s="1"/>
  <c r="D18" s="1"/>
  <c r="F15" i="2"/>
  <c r="L15" s="1"/>
  <c r="F18" i="6"/>
  <c r="L18" s="1"/>
  <c r="F16" i="4"/>
  <c r="L16" s="1"/>
  <c r="J15"/>
  <c r="C16" s="1"/>
  <c r="D16" s="1"/>
  <c r="I16" i="3"/>
  <c r="J14" i="2"/>
  <c r="C15" s="1"/>
  <c r="D15" s="1"/>
  <c r="I15" s="1"/>
  <c r="F16" s="1"/>
  <c r="F17" i="5" l="1"/>
  <c r="L17" s="1"/>
  <c r="I16" i="4"/>
  <c r="J16" s="1"/>
  <c r="C17" s="1"/>
  <c r="D17" s="1"/>
  <c r="F17" i="3"/>
  <c r="L17" s="1"/>
  <c r="L16" i="2"/>
  <c r="I17" i="5"/>
  <c r="I18" i="6"/>
  <c r="J16" i="3"/>
  <c r="C17" s="1"/>
  <c r="D17" s="1"/>
  <c r="J15" i="2"/>
  <c r="C16" s="1"/>
  <c r="D16" s="1"/>
  <c r="I16" s="1"/>
  <c r="F17" s="1"/>
  <c r="F17" i="4" l="1"/>
  <c r="L17" s="1"/>
  <c r="F19" i="6"/>
  <c r="L19" s="1"/>
  <c r="F18" i="5"/>
  <c r="L18" s="1"/>
  <c r="L17" i="2"/>
  <c r="J18" i="6"/>
  <c r="C19" s="1"/>
  <c r="D19" s="1"/>
  <c r="J17" i="5"/>
  <c r="C18" s="1"/>
  <c r="D18" s="1"/>
  <c r="I17" i="3"/>
  <c r="J16" i="2"/>
  <c r="C17" s="1"/>
  <c r="I18" i="5" l="1"/>
  <c r="J18" s="1"/>
  <c r="C19" s="1"/>
  <c r="D19" s="1"/>
  <c r="I19" s="1"/>
  <c r="I17" i="4"/>
  <c r="F18" s="1"/>
  <c r="L18" s="1"/>
  <c r="F19" i="5"/>
  <c r="L19" s="1"/>
  <c r="F18" i="3"/>
  <c r="I19" i="6"/>
  <c r="J17" i="3"/>
  <c r="C18" s="1"/>
  <c r="D18" s="1"/>
  <c r="L18"/>
  <c r="D17" i="2"/>
  <c r="I17" s="1"/>
  <c r="J17" i="4" l="1"/>
  <c r="C18" s="1"/>
  <c r="D18" s="1"/>
  <c r="I18" s="1"/>
  <c r="F19" s="1"/>
  <c r="L19" s="1"/>
  <c r="F20" i="6"/>
  <c r="F20" i="5"/>
  <c r="F18" i="2"/>
  <c r="L18" s="1"/>
  <c r="L20" i="6"/>
  <c r="J19"/>
  <c r="L20" i="5"/>
  <c r="J19"/>
  <c r="C20" s="1"/>
  <c r="D20" s="1"/>
  <c r="I18" i="3"/>
  <c r="J17" i="2"/>
  <c r="C18" s="1"/>
  <c r="D18" s="1"/>
  <c r="J18" i="4" l="1"/>
  <c r="C19" s="1"/>
  <c r="D19" s="1"/>
  <c r="I19" s="1"/>
  <c r="J19" s="1"/>
  <c r="C20" s="1"/>
  <c r="D20" s="1"/>
  <c r="I20" i="5"/>
  <c r="F21" s="1"/>
  <c r="L21" s="1"/>
  <c r="F19" i="3"/>
  <c r="L19" s="1"/>
  <c r="I18" i="2"/>
  <c r="C20" i="6"/>
  <c r="D20" s="1"/>
  <c r="I20" s="1"/>
  <c r="J18" i="3"/>
  <c r="C19" s="1"/>
  <c r="D19" s="1"/>
  <c r="F20" i="4" l="1"/>
  <c r="L20" s="1"/>
  <c r="J20" i="5"/>
  <c r="C21" s="1"/>
  <c r="D21" s="1"/>
  <c r="I21" s="1"/>
  <c r="F22" s="1"/>
  <c r="L22" s="1"/>
  <c r="F21" i="6"/>
  <c r="F19" i="2"/>
  <c r="L19" s="1"/>
  <c r="J18"/>
  <c r="C19" s="1"/>
  <c r="D19" s="1"/>
  <c r="I19" i="3"/>
  <c r="L21" i="6"/>
  <c r="J20"/>
  <c r="C21" s="1"/>
  <c r="D21" s="1"/>
  <c r="I21" l="1"/>
  <c r="I20" i="4"/>
  <c r="F21" s="1"/>
  <c r="L21" s="1"/>
  <c r="J21" i="5"/>
  <c r="C22" s="1"/>
  <c r="D22" s="1"/>
  <c r="I22" s="1"/>
  <c r="F22" i="6"/>
  <c r="L22" s="1"/>
  <c r="F20" i="3"/>
  <c r="L20" s="1"/>
  <c r="I19" i="2"/>
  <c r="J19" i="3"/>
  <c r="C20" s="1"/>
  <c r="D20" s="1"/>
  <c r="J21" i="6"/>
  <c r="C22" s="1"/>
  <c r="D22" s="1"/>
  <c r="J20" i="4" l="1"/>
  <c r="C21" s="1"/>
  <c r="D21" s="1"/>
  <c r="I21" s="1"/>
  <c r="F22" s="1"/>
  <c r="L22" s="1"/>
  <c r="I20" i="3"/>
  <c r="F21" s="1"/>
  <c r="L21" s="1"/>
  <c r="I22" i="6"/>
  <c r="J22" s="1"/>
  <c r="C23" s="1"/>
  <c r="D23" s="1"/>
  <c r="J22" i="5"/>
  <c r="C23" s="1"/>
  <c r="D23" s="1"/>
  <c r="F23"/>
  <c r="L23" s="1"/>
  <c r="F20" i="2"/>
  <c r="L20" s="1"/>
  <c r="J19"/>
  <c r="C20" s="1"/>
  <c r="D20" s="1"/>
  <c r="I20" s="1"/>
  <c r="J20" i="3"/>
  <c r="C21" s="1"/>
  <c r="D21" s="1"/>
  <c r="J21" i="4" l="1"/>
  <c r="C22" s="1"/>
  <c r="D22" s="1"/>
  <c r="I22" s="1"/>
  <c r="J22" s="1"/>
  <c r="C23" s="1"/>
  <c r="D23" s="1"/>
  <c r="I21" i="3"/>
  <c r="J21" s="1"/>
  <c r="C22" s="1"/>
  <c r="D22" s="1"/>
  <c r="F23" i="6"/>
  <c r="L23" s="1"/>
  <c r="F22" i="3"/>
  <c r="L22" s="1"/>
  <c r="F21" i="2"/>
  <c r="L21" s="1"/>
  <c r="I23" i="5"/>
  <c r="J20" i="2"/>
  <c r="C21" s="1"/>
  <c r="I22" i="3" l="1"/>
  <c r="J22" s="1"/>
  <c r="C23" s="1"/>
  <c r="D23" s="1"/>
  <c r="F23" i="4"/>
  <c r="L23" s="1"/>
  <c r="I23" i="6"/>
  <c r="F24" i="5"/>
  <c r="L24" s="1"/>
  <c r="J23"/>
  <c r="C24" s="1"/>
  <c r="D24" s="1"/>
  <c r="D21" i="2"/>
  <c r="I21" s="1"/>
  <c r="F23" i="3" l="1"/>
  <c r="L23" s="1"/>
  <c r="I24" i="5"/>
  <c r="F25" s="1"/>
  <c r="L25" s="1"/>
  <c r="I23" i="4"/>
  <c r="J23" s="1"/>
  <c r="C24" s="1"/>
  <c r="D24" s="1"/>
  <c r="F24" i="6"/>
  <c r="L24" s="1"/>
  <c r="J23"/>
  <c r="C24" s="1"/>
  <c r="D24" s="1"/>
  <c r="I24" s="1"/>
  <c r="F22" i="2"/>
  <c r="L22" s="1"/>
  <c r="J24" i="5"/>
  <c r="C25" s="1"/>
  <c r="D25" s="1"/>
  <c r="J21" i="2"/>
  <c r="C22" s="1"/>
  <c r="D22" s="1"/>
  <c r="I23" i="3" l="1"/>
  <c r="F24" s="1"/>
  <c r="L24" s="1"/>
  <c r="F24" i="4"/>
  <c r="L24" s="1"/>
  <c r="I25" i="5"/>
  <c r="F26" s="1"/>
  <c r="L26" s="1"/>
  <c r="J24" i="6"/>
  <c r="C25" s="1"/>
  <c r="D25" s="1"/>
  <c r="F25"/>
  <c r="L25" s="1"/>
  <c r="J25" i="5"/>
  <c r="C26" s="1"/>
  <c r="D26" s="1"/>
  <c r="I22" i="2"/>
  <c r="J23" i="3" l="1"/>
  <c r="C24" s="1"/>
  <c r="D24" s="1"/>
  <c r="I24" s="1"/>
  <c r="I24" i="4"/>
  <c r="J24" s="1"/>
  <c r="C25" s="1"/>
  <c r="D25" s="1"/>
  <c r="I25" i="6"/>
  <c r="F23" i="2"/>
  <c r="L23"/>
  <c r="I26" i="5"/>
  <c r="J22" i="2"/>
  <c r="C23" s="1"/>
  <c r="D23" s="1"/>
  <c r="F25" i="4" l="1"/>
  <c r="L25" s="1"/>
  <c r="F26" i="6"/>
  <c r="L26" s="1"/>
  <c r="J25"/>
  <c r="C26" s="1"/>
  <c r="D26" s="1"/>
  <c r="F27" i="5"/>
  <c r="L27" s="1"/>
  <c r="F25" i="3"/>
  <c r="L25" s="1"/>
  <c r="I23" i="2"/>
  <c r="J24" i="3"/>
  <c r="C25" s="1"/>
  <c r="D25" s="1"/>
  <c r="J26" i="5"/>
  <c r="C27" s="1"/>
  <c r="D27" s="1"/>
  <c r="I27" s="1"/>
  <c r="I25" i="4" l="1"/>
  <c r="F26" s="1"/>
  <c r="L26" s="1"/>
  <c r="I25" i="3"/>
  <c r="F26" s="1"/>
  <c r="L26" s="1"/>
  <c r="I26" i="6"/>
  <c r="J26" s="1"/>
  <c r="C27" s="1"/>
  <c r="D27" s="1"/>
  <c r="F28" i="5"/>
  <c r="L28" s="1"/>
  <c r="F24" i="2"/>
  <c r="L24" s="1"/>
  <c r="J23"/>
  <c r="C24" s="1"/>
  <c r="D24" s="1"/>
  <c r="J27" i="5"/>
  <c r="C28" s="1"/>
  <c r="D28" s="1"/>
  <c r="F27" i="6" l="1"/>
  <c r="L27" s="1"/>
  <c r="J25" i="4"/>
  <c r="C26" s="1"/>
  <c r="D26" s="1"/>
  <c r="I26" s="1"/>
  <c r="J26" s="1"/>
  <c r="C27" s="1"/>
  <c r="D27" s="1"/>
  <c r="J25" i="3"/>
  <c r="C26" s="1"/>
  <c r="D26" s="1"/>
  <c r="I24" i="2"/>
  <c r="I27" i="6"/>
  <c r="F25" i="2"/>
  <c r="L25" s="1"/>
  <c r="I28" i="5"/>
  <c r="F29" s="1"/>
  <c r="J24" i="2"/>
  <c r="C25" s="1"/>
  <c r="F27" i="4" l="1"/>
  <c r="L27" s="1"/>
  <c r="I26" i="3"/>
  <c r="J26" s="1"/>
  <c r="C27" s="1"/>
  <c r="D27" s="1"/>
  <c r="F28" i="6"/>
  <c r="L28" s="1"/>
  <c r="J27"/>
  <c r="C28" s="1"/>
  <c r="D28" s="1"/>
  <c r="J28" i="5"/>
  <c r="C29" s="1"/>
  <c r="D29" s="1"/>
  <c r="I29" s="1"/>
  <c r="J29" s="1"/>
  <c r="L29"/>
  <c r="D25" i="2"/>
  <c r="I25" s="1"/>
  <c r="I27" i="4" l="1"/>
  <c r="J27" s="1"/>
  <c r="C28" s="1"/>
  <c r="D28" s="1"/>
  <c r="I28" i="6"/>
  <c r="J28" s="1"/>
  <c r="C29" s="1"/>
  <c r="D29" s="1"/>
  <c r="F27" i="3"/>
  <c r="L27" s="1"/>
  <c r="F29" i="6"/>
  <c r="L29" s="1"/>
  <c r="F26" i="2"/>
  <c r="L26" s="1"/>
  <c r="J25"/>
  <c r="C26" s="1"/>
  <c r="F28" i="4" l="1"/>
  <c r="L28" s="1"/>
  <c r="I27" i="3"/>
  <c r="F28" s="1"/>
  <c r="L28" s="1"/>
  <c r="I29" i="6"/>
  <c r="J29" s="1"/>
  <c r="D26" i="2"/>
  <c r="I26" s="1"/>
  <c r="I28" i="4" l="1"/>
  <c r="J28" s="1"/>
  <c r="C29" s="1"/>
  <c r="D29" s="1"/>
  <c r="J27" i="3"/>
  <c r="C28" s="1"/>
  <c r="D28" s="1"/>
  <c r="I28" s="1"/>
  <c r="F29" s="1"/>
  <c r="L29" s="1"/>
  <c r="F27" i="2"/>
  <c r="L27" s="1"/>
  <c r="J26"/>
  <c r="C27" s="1"/>
  <c r="F29" i="4" l="1"/>
  <c r="L29" s="1"/>
  <c r="J28" i="3"/>
  <c r="C29" s="1"/>
  <c r="D29" s="1"/>
  <c r="I29" s="1"/>
  <c r="J29" s="1"/>
  <c r="D27" i="2"/>
  <c r="I27" s="1"/>
  <c r="I29" i="4" l="1"/>
  <c r="J29" s="1"/>
  <c r="F28" i="2"/>
  <c r="L28" s="1"/>
  <c r="J27"/>
  <c r="C28" s="1"/>
  <c r="D28" l="1"/>
  <c r="I28" s="1"/>
  <c r="F29" s="1"/>
  <c r="J28" l="1"/>
  <c r="C29" s="1"/>
  <c r="L29" l="1"/>
  <c r="D29"/>
  <c r="I29" s="1"/>
  <c r="J29" l="1"/>
</calcChain>
</file>

<file path=xl/sharedStrings.xml><?xml version="1.0" encoding="utf-8"?>
<sst xmlns="http://schemas.openxmlformats.org/spreadsheetml/2006/main" count="352" uniqueCount="72">
  <si>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</si>
  <si>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</si>
  <si>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</si>
  <si>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</si>
  <si>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</si>
  <si>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</si>
  <si>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</si>
  <si>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</si>
  <si>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</si>
  <si>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</si>
  <si>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</si>
  <si>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</si>
  <si>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</si>
  <si>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</si>
  <si>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</si>
  <si>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</si>
  <si>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</si>
  <si>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</si>
  <si>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</si>
  <si>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</si>
  <si>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0</t>
  </si>
  <si>
    <t>Earnings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</si>
  <si>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</si>
  <si>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</si>
  <si>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</si>
  <si>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</si>
  <si>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</si>
  <si>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</si>
  <si>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</si>
  <si>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</si>
  <si>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</si>
  <si>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</si>
  <si>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</si>
  <si>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</si>
  <si>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FY 2026</t>
  </si>
  <si>
    <t>FY 2027</t>
  </si>
  <si>
    <t>FY 2028</t>
  </si>
  <si>
    <t>FY 2029</t>
  </si>
  <si>
    <t>FY 2030</t>
  </si>
  <si>
    <t>FY 2031</t>
  </si>
  <si>
    <t>Balance to generate earnings</t>
  </si>
  <si>
    <t>(in 000's)</t>
  </si>
  <si>
    <t>Assumptions:</t>
  </si>
  <si>
    <t>Studded Tire Tax</t>
  </si>
  <si>
    <t>Vehicle Registration,Drivers license, ID card fees</t>
  </si>
  <si>
    <t>Vehicle Rental Tax</t>
  </si>
  <si>
    <t>Admin Expenses</t>
  </si>
  <si>
    <t>Motor Fuel Tax</t>
  </si>
  <si>
    <t xml:space="preserve">Airport Lease Fees </t>
  </si>
  <si>
    <t>Revenue</t>
  </si>
  <si>
    <t>% per HB329</t>
  </si>
  <si>
    <t>Available</t>
  </si>
  <si>
    <t>Avg Rev</t>
  </si>
  <si>
    <t>Management fees are based on ending MV balance</t>
  </si>
  <si>
    <t>Earnings real rate of return=</t>
  </si>
  <si>
    <t xml:space="preserve">Revenue estimates are based on average estimates provided in the Fall Revenue Sources Book </t>
  </si>
  <si>
    <t>(which may not be 100% available)as follows:</t>
  </si>
  <si>
    <t>DMV expenses</t>
  </si>
  <si>
    <t xml:space="preserve">DRAFT at </t>
  </si>
  <si>
    <t>Total Appropriation</t>
  </si>
  <si>
    <t>Ending bal</t>
  </si>
  <si>
    <t>Mgt fees</t>
  </si>
  <si>
    <t>FY 2032</t>
  </si>
  <si>
    <t>FY 2033</t>
  </si>
  <si>
    <t xml:space="preserve">First 5 yrs appropriations are average of previous years </t>
  </si>
  <si>
    <t>50% of Revenues are available for appropriation every year</t>
  </si>
  <si>
    <t>Payout rate</t>
  </si>
  <si>
    <t>50% of Revenue Approriation</t>
  </si>
  <si>
    <t>Value Based Approriation</t>
  </si>
  <si>
    <t>HB30 Calculation of balances for the Transporation Infrastructure Fund assuming $1 billion starting appropriation.</t>
  </si>
  <si>
    <t>DMV expenses are based on DOA Fiscal note HB030-DOA-DMV-02-11-11</t>
  </si>
  <si>
    <t>Administrative expenses are based on DOT Fiscal note HB030-DOT-CO-2-11-11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</si>
</sst>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165" fontId="0" fillId="0" borderId="0"/>
    <xf numFmtId="43" fontId="1" fillId="0" borderId="0" applyFont="0" applyFill="0" applyBorder="0" applyAlignment="0" applyProtection="0"/>
  </cellStyleXfs>
  <cellXfs count="48">
    <xf numFmtId="165" fontId="0" fillId="0" borderId="0" xfId="0"/>
    <xf numFmtId="164" fontId="0" fillId="0" borderId="0" xfId="1" applyNumberFormat="1" applyFont="1"/>
    <xf numFmtId="165" fontId="0" fillId="0" borderId="0" xfId="0" applyFont="1"/>
    <xf numFmtId="165" fontId="0" fillId="0" borderId="1" xfId="0" applyFont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165" fontId="0" fillId="0" borderId="0" xfId="0" applyFont="1" applyBorder="1"/>
    <xf numFmtId="165" fontId="0" fillId="0" borderId="0" xfId="0" applyFont="1" applyBorder="1" applyAlignment="1">
      <alignment horizontal="center" wrapText="1"/>
    </xf>
    <xf numFmtId="165" fontId="0" fillId="0" borderId="0" xfId="0" applyFont="1" applyBorder="1" applyAlignment="1">
      <alignment horizontal="center"/>
    </xf>
    <xf numFmtId="164" fontId="2" fillId="0" borderId="0" xfId="1" applyNumberFormat="1" applyFont="1" applyBorder="1"/>
    <xf numFmtId="166" fontId="2" fillId="0" borderId="0" xfId="1" applyNumberFormat="1" applyFont="1" applyBorder="1"/>
    <xf numFmtId="164" fontId="0" fillId="0" borderId="0" xfId="1" applyNumberFormat="1" applyFont="1" applyBorder="1"/>
    <xf numFmtId="164" fontId="0" fillId="0" borderId="0" xfId="0" applyNumberFormat="1" applyFont="1" applyBorder="1"/>
    <xf numFmtId="165" fontId="0" fillId="0" borderId="2" xfId="0" applyFont="1" applyBorder="1"/>
    <xf numFmtId="165" fontId="0" fillId="0" borderId="3" xfId="0" applyFont="1" applyBorder="1"/>
    <xf numFmtId="164" fontId="2" fillId="0" borderId="3" xfId="1" applyNumberFormat="1" applyFont="1" applyBorder="1"/>
    <xf numFmtId="164" fontId="2" fillId="0" borderId="4" xfId="1" applyNumberFormat="1" applyFont="1" applyBorder="1"/>
    <xf numFmtId="165" fontId="0" fillId="0" borderId="1" xfId="0" applyBorder="1" applyAlignment="1">
      <alignment horizontal="center" wrapText="1"/>
    </xf>
    <xf numFmtId="165" fontId="0" fillId="0" borderId="1" xfId="0" applyBorder="1" applyAlignment="1">
      <alignment horizontal="center"/>
    </xf>
    <xf numFmtId="3" fontId="0" fillId="0" borderId="5" xfId="0" applyNumberFormat="1" applyFont="1" applyBorder="1"/>
    <xf numFmtId="9" fontId="0" fillId="0" borderId="5" xfId="0" applyNumberFormat="1" applyFont="1" applyBorder="1"/>
    <xf numFmtId="3" fontId="0" fillId="0" borderId="7" xfId="0" applyNumberFormat="1" applyFont="1" applyBorder="1"/>
    <xf numFmtId="3" fontId="0" fillId="0" borderId="6" xfId="0" applyNumberFormat="1" applyFont="1" applyBorder="1"/>
    <xf numFmtId="165" fontId="3" fillId="0" borderId="8" xfId="0" applyFont="1" applyBorder="1"/>
    <xf numFmtId="165" fontId="0" fillId="0" borderId="8" xfId="0" applyFont="1" applyBorder="1"/>
    <xf numFmtId="10" fontId="0" fillId="0" borderId="6" xfId="0" applyNumberFormat="1" applyFont="1" applyBorder="1"/>
    <xf numFmtId="9" fontId="0" fillId="0" borderId="7" xfId="0" applyNumberFormat="1" applyFont="1" applyBorder="1"/>
    <xf numFmtId="9" fontId="0" fillId="0" borderId="0" xfId="0" applyNumberFormat="1" applyFont="1" applyBorder="1"/>
    <xf numFmtId="165" fontId="0" fillId="0" borderId="1" xfId="0" applyBorder="1" applyAlignment="1">
      <alignment horizontal="center"/>
    </xf>
    <xf numFmtId="165" fontId="3" fillId="0" borderId="0" xfId="0" applyFont="1"/>
    <xf numFmtId="165" fontId="3" fillId="0" borderId="0" xfId="0" applyFont="1" applyAlignment="1">
      <alignment horizontal="left"/>
    </xf>
    <xf numFmtId="165" fontId="0" fillId="0" borderId="0" xfId="0" applyFont="1" applyBorder="1" applyAlignment="1">
      <alignment horizontal="center"/>
    </xf>
    <xf numFmtId="165" fontId="0" fillId="0" borderId="1" xfId="0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3" fillId="0" borderId="0" xfId="0" applyFont="1" applyBorder="1"/>
    <xf numFmtId="165" fontId="3" fillId="0" borderId="1" xfId="0" applyFont="1" applyBorder="1" applyAlignment="1">
      <alignment horizontal="center" wrapText="1"/>
    </xf>
    <xf numFmtId="164" fontId="4" fillId="0" borderId="0" xfId="1" applyNumberFormat="1" applyFont="1" applyFill="1" applyBorder="1"/>
    <xf numFmtId="165" fontId="3" fillId="0" borderId="7" xfId="0" applyFont="1" applyBorder="1"/>
    <xf numFmtId="164" fontId="4" fillId="0" borderId="9" xfId="1" applyNumberFormat="1" applyFont="1" applyBorder="1"/>
    <xf numFmtId="164" fontId="4" fillId="0" borderId="10" xfId="1" applyNumberFormat="1" applyFont="1" applyBorder="1"/>
    <xf numFmtId="165" fontId="0" fillId="0" borderId="1" xfId="0" applyBorder="1" applyAlignment="1">
      <alignment horizontal="center"/>
    </xf>
    <xf numFmtId="164" fontId="2" fillId="0" borderId="11" xfId="1" applyNumberFormat="1" applyFont="1" applyBorder="1"/>
    <xf numFmtId="164" fontId="2" fillId="0" borderId="1" xfId="1" applyNumberFormat="1" applyFont="1" applyBorder="1"/>
    <xf numFmtId="164" fontId="2" fillId="0" borderId="12" xfId="1" applyNumberFormat="1" applyFont="1" applyBorder="1"/>
    <xf numFmtId="165" fontId="0" fillId="0" borderId="5" xfId="0" applyBorder="1" applyAlignment="1"/>
    <xf numFmtId="165" fontId="0" fillId="0" borderId="0" xfId="0" applyFont="1" applyBorder="1" applyAlignment="1">
      <alignment horizontal="center"/>
    </xf>
    <xf numFmtId="165" fontId="0" fillId="0" borderId="1" xfId="0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0"/>
  <sheetViews>
    <sheetView view="pageLayout" zoomScaleNormal="100" workbookViewId="0">
      <selection activeCell="F4" sqref="F4"/>
    </sheetView>
  </sheetViews>
  <sheetFormatPr defaultRowHeight="15"/>
  <cols>
    <col min="1" max="1" width="8.28515625" style="2" customWidth="1"/>
    <col min="2" max="2" width="19" style="2" customWidth="1"/>
    <col min="3" max="3" width="12" style="2" customWidth="1"/>
    <col min="4" max="4" width="9" style="2" customWidth="1"/>
    <col min="5" max="5" width="10.5703125" style="2" customWidth="1"/>
    <col min="6" max="6" width="15.42578125" style="2" customWidth="1"/>
    <col min="7" max="8" width="11.42578125" style="2" customWidth="1"/>
    <col min="9" max="9" width="11" style="2" customWidth="1"/>
    <col min="10" max="10" width="9" style="2" customWidth="1"/>
    <col min="11" max="11" width="12" style="6" bestFit="1" customWidth="1"/>
    <col min="12" max="12" width="14.28515625" style="34" customWidth="1"/>
    <col min="13" max="13" width="10.5703125" style="6" bestFit="1" customWidth="1"/>
    <col min="14" max="14" width="9.7109375" style="6" bestFit="1" customWidth="1"/>
    <col min="15" max="15" width="10.5703125" style="6" bestFit="1" customWidth="1"/>
    <col min="16" max="16" width="8.28515625" style="6" customWidth="1"/>
    <col min="17" max="17" width="3.7109375" style="6" customWidth="1"/>
    <col min="18" max="18" width="9.28515625" style="6" customWidth="1"/>
    <col min="19" max="19" width="12.140625" style="6" bestFit="1" customWidth="1"/>
    <col min="20" max="20" width="9.140625" style="6"/>
    <col min="21" max="16384" width="9.140625" style="2"/>
  </cols>
  <sheetData>
    <row r="1" spans="1:19">
      <c r="A1" t="s">
        <v>69</v>
      </c>
    </row>
    <row r="2" spans="1:19">
      <c r="A2" s="29" t="s">
        <v>58</v>
      </c>
      <c r="B2" s="30">
        <f ca="1">TODAY()</f>
        <v>40595</v>
      </c>
    </row>
    <row r="6" spans="1:19">
      <c r="C6" s="46" t="s">
        <v>41</v>
      </c>
      <c r="D6" s="47"/>
      <c r="E6" s="47"/>
      <c r="F6" s="47"/>
      <c r="G6" s="47"/>
      <c r="H6" s="47"/>
      <c r="I6" s="47"/>
      <c r="J6" s="47"/>
      <c r="K6" s="45"/>
      <c r="L6" s="45"/>
      <c r="M6" s="45"/>
      <c r="N6" s="45"/>
      <c r="O6" s="45"/>
      <c r="P6" s="45"/>
      <c r="Q6" s="45"/>
      <c r="R6" s="45"/>
      <c r="S6" s="45"/>
    </row>
    <row r="8" spans="1:19" ht="60">
      <c r="C8" s="17" t="s">
        <v>40</v>
      </c>
      <c r="D8" s="3" t="s">
        <v>21</v>
      </c>
      <c r="E8" s="18" t="s">
        <v>49</v>
      </c>
      <c r="F8" s="17" t="s">
        <v>68</v>
      </c>
      <c r="G8" s="17" t="s">
        <v>46</v>
      </c>
      <c r="H8" s="17" t="s">
        <v>57</v>
      </c>
      <c r="I8" s="28" t="s">
        <v>60</v>
      </c>
      <c r="J8" s="28" t="s">
        <v>61</v>
      </c>
      <c r="K8" s="17" t="s">
        <v>67</v>
      </c>
      <c r="L8" s="35" t="s">
        <v>59</v>
      </c>
      <c r="M8" s="8"/>
      <c r="N8" s="7"/>
      <c r="O8" s="8"/>
      <c r="P8" s="8"/>
      <c r="R8" s="7"/>
      <c r="S8" s="8"/>
    </row>
    <row r="9" spans="1:19">
      <c r="A9" s="2" t="s">
        <v>20</v>
      </c>
      <c r="B9" s="4">
        <v>41456</v>
      </c>
      <c r="C9" s="13"/>
      <c r="D9" s="14"/>
      <c r="E9" s="15">
        <v>1000000</v>
      </c>
      <c r="F9" s="15"/>
      <c r="G9" s="15"/>
      <c r="H9" s="15"/>
      <c r="I9" s="15">
        <f>E9</f>
        <v>1000000</v>
      </c>
      <c r="J9" s="9"/>
      <c r="L9" s="37"/>
      <c r="M9" s="9"/>
      <c r="N9" s="9"/>
      <c r="O9" s="9"/>
      <c r="P9" s="9"/>
    </row>
    <row r="10" spans="1:19">
      <c r="A10" s="2" t="s">
        <v>0</v>
      </c>
      <c r="B10" s="5" t="s">
        <v>22</v>
      </c>
      <c r="C10" s="16">
        <f>I9+0.5*E10+J9</f>
        <v>1040282</v>
      </c>
      <c r="D10" s="9">
        <f t="shared" ref="D10:D29" si="0">C10*$C$35</f>
        <v>62416.92</v>
      </c>
      <c r="E10" s="9">
        <f>+$I$45</f>
        <v>80564</v>
      </c>
      <c r="F10" s="9"/>
      <c r="G10" s="9">
        <v>-176.8</v>
      </c>
      <c r="H10" s="9">
        <v>-6467.2</v>
      </c>
      <c r="I10" s="9">
        <f>SUM(D10:H10)+I9+J9-K10</f>
        <v>1136336.92</v>
      </c>
      <c r="J10" s="9">
        <f>-I10*0.0004</f>
        <v>-454.53476799999999</v>
      </c>
      <c r="K10" s="9"/>
      <c r="L10" s="38"/>
      <c r="M10" s="9"/>
      <c r="N10" s="9"/>
      <c r="O10" s="9"/>
      <c r="P10" s="10"/>
      <c r="R10" s="11"/>
      <c r="S10" s="12"/>
    </row>
    <row r="11" spans="1:19">
      <c r="A11" s="2" t="s">
        <v>1</v>
      </c>
      <c r="B11" s="5" t="s">
        <v>23</v>
      </c>
      <c r="C11" s="16">
        <f>I10+0.5*E11+J10</f>
        <v>1176164.3852319999</v>
      </c>
      <c r="D11" s="9">
        <f t="shared" si="0"/>
        <v>70569.863113919986</v>
      </c>
      <c r="E11" s="9">
        <f t="shared" ref="E11:E29" si="1">+$I$45</f>
        <v>80564</v>
      </c>
      <c r="F11" s="9">
        <f>-C36*(I10-E10)</f>
        <v>-63346.375199999995</v>
      </c>
      <c r="G11" s="9">
        <v>-176.8</v>
      </c>
      <c r="H11" s="9">
        <v>-6467.2</v>
      </c>
      <c r="I11" s="9">
        <f t="shared" ref="I11:I15" si="2">SUM(D11:H11)+I10+J10-K11</f>
        <v>1176743.87314592</v>
      </c>
      <c r="J11" s="9">
        <f t="shared" ref="J11:J29" si="3">-I11*0.0004</f>
        <v>-470.69754925836804</v>
      </c>
      <c r="K11" s="9">
        <f t="shared" ref="K11:K15" si="4">0.5*E11</f>
        <v>40282</v>
      </c>
      <c r="L11" s="38">
        <f t="shared" ref="L11:L15" si="5">+K11-F11</f>
        <v>103628.37519999999</v>
      </c>
      <c r="M11" s="9"/>
      <c r="N11" s="9"/>
      <c r="O11" s="9"/>
      <c r="P11" s="10"/>
      <c r="R11" s="11"/>
      <c r="S11" s="12"/>
    </row>
    <row r="12" spans="1:19">
      <c r="A12" s="2" t="s">
        <v>2</v>
      </c>
      <c r="B12" s="5" t="s">
        <v>24</v>
      </c>
      <c r="C12" s="16">
        <f t="shared" ref="C12:C29" si="6">I11+0.5*E12+J11</f>
        <v>1216555.1755966616</v>
      </c>
      <c r="D12" s="9">
        <f t="shared" si="0"/>
        <v>72993.310535799697</v>
      </c>
      <c r="E12" s="9">
        <f t="shared" si="1"/>
        <v>80564</v>
      </c>
      <c r="F12" s="9">
        <f>-C36*(I$10+(I11-E11))/2</f>
        <v>-66975.503794377597</v>
      </c>
      <c r="G12" s="9">
        <v>-176.8</v>
      </c>
      <c r="H12" s="9">
        <v>-6467.2</v>
      </c>
      <c r="I12" s="9">
        <f t="shared" si="2"/>
        <v>1215928.9823380837</v>
      </c>
      <c r="J12" s="9">
        <f t="shared" si="3"/>
        <v>-486.37159293523348</v>
      </c>
      <c r="K12" s="9">
        <f t="shared" si="4"/>
        <v>40282</v>
      </c>
      <c r="L12" s="38">
        <f t="shared" si="5"/>
        <v>107257.5037943776</v>
      </c>
      <c r="M12" s="9"/>
      <c r="N12" s="9"/>
      <c r="O12" s="9"/>
      <c r="P12" s="10"/>
      <c r="R12" s="11"/>
      <c r="S12" s="12"/>
    </row>
    <row r="13" spans="1:19">
      <c r="A13" s="2" t="s">
        <v>3</v>
      </c>
      <c r="B13" s="5" t="s">
        <v>25</v>
      </c>
      <c r="C13" s="16">
        <f t="shared" si="6"/>
        <v>1255724.6107451485</v>
      </c>
      <c r="D13" s="9">
        <f t="shared" si="0"/>
        <v>75343.476644708906</v>
      </c>
      <c r="E13" s="9">
        <f t="shared" si="1"/>
        <v>80564</v>
      </c>
      <c r="F13" s="9">
        <f>-C36*(I$10+I11+(I12-E12))/3</f>
        <v>-68968.915509680082</v>
      </c>
      <c r="G13" s="9">
        <v>-176.8</v>
      </c>
      <c r="H13" s="9">
        <v>-6467.2</v>
      </c>
      <c r="I13" s="9">
        <f t="shared" si="2"/>
        <v>1255455.1718801772</v>
      </c>
      <c r="J13" s="9">
        <f t="shared" si="3"/>
        <v>-502.1820687520709</v>
      </c>
      <c r="K13" s="9">
        <f t="shared" si="4"/>
        <v>40282</v>
      </c>
      <c r="L13" s="38">
        <f t="shared" si="5"/>
        <v>109250.91550968008</v>
      </c>
      <c r="M13" s="9"/>
      <c r="N13" s="9"/>
      <c r="O13" s="9"/>
      <c r="P13" s="10"/>
      <c r="R13" s="11"/>
      <c r="S13" s="12"/>
    </row>
    <row r="14" spans="1:19">
      <c r="A14" s="2" t="s">
        <v>4</v>
      </c>
      <c r="B14" s="5" t="s">
        <v>26</v>
      </c>
      <c r="C14" s="16">
        <f t="shared" si="6"/>
        <v>1295234.9898114251</v>
      </c>
      <c r="D14" s="9">
        <f t="shared" si="0"/>
        <v>77714.099388685499</v>
      </c>
      <c r="E14" s="9">
        <f t="shared" si="1"/>
        <v>80564</v>
      </c>
      <c r="F14" s="9">
        <f>-C36*(I$10+I11+I12+(I13-E13))/4</f>
        <v>-70558.514210462716</v>
      </c>
      <c r="G14" s="9">
        <v>-176.8</v>
      </c>
      <c r="H14" s="9">
        <v>-6467.2</v>
      </c>
      <c r="I14" s="9">
        <f t="shared" si="2"/>
        <v>1295746.5749896478</v>
      </c>
      <c r="J14" s="9">
        <f t="shared" si="3"/>
        <v>-518.29862999585919</v>
      </c>
      <c r="K14" s="9">
        <f t="shared" si="4"/>
        <v>40282</v>
      </c>
      <c r="L14" s="38">
        <f t="shared" si="5"/>
        <v>110840.51421046272</v>
      </c>
      <c r="M14" s="9"/>
      <c r="N14" s="9"/>
      <c r="O14" s="9"/>
      <c r="P14" s="10"/>
      <c r="R14" s="11"/>
      <c r="S14" s="12"/>
    </row>
    <row r="15" spans="1:19">
      <c r="A15" s="2" t="s">
        <v>5</v>
      </c>
      <c r="B15" s="5" t="s">
        <v>27</v>
      </c>
      <c r="C15" s="16">
        <f t="shared" si="6"/>
        <v>1335510.2763596519</v>
      </c>
      <c r="D15" s="9">
        <f t="shared" si="0"/>
        <v>80130.616581579117</v>
      </c>
      <c r="E15" s="9">
        <f t="shared" si="1"/>
        <v>80564</v>
      </c>
      <c r="F15" s="9">
        <f>-$C$36*(I10+I11+I12+I13+(I14-E14))/5</f>
        <v>-71995.770268245949</v>
      </c>
      <c r="G15" s="9">
        <v>-176.8</v>
      </c>
      <c r="H15" s="9">
        <v>-6467.2</v>
      </c>
      <c r="I15" s="9">
        <f t="shared" si="2"/>
        <v>1337001.1226729851</v>
      </c>
      <c r="J15" s="9">
        <f t="shared" si="3"/>
        <v>-534.80044906919409</v>
      </c>
      <c r="K15" s="9">
        <f t="shared" si="4"/>
        <v>40282</v>
      </c>
      <c r="L15" s="38">
        <f t="shared" si="5"/>
        <v>112277.77026824595</v>
      </c>
      <c r="M15" s="9"/>
      <c r="N15" s="9"/>
      <c r="O15" s="9"/>
      <c r="P15" s="10"/>
      <c r="R15" s="11"/>
      <c r="S15" s="12"/>
    </row>
    <row r="16" spans="1:19">
      <c r="A16" s="2" t="s">
        <v>6</v>
      </c>
      <c r="B16" s="5" t="s">
        <v>28</v>
      </c>
      <c r="C16" s="16">
        <f t="shared" si="6"/>
        <v>1376748.322223916</v>
      </c>
      <c r="D16" s="9">
        <f t="shared" si="0"/>
        <v>82604.899333434951</v>
      </c>
      <c r="E16" s="9">
        <f t="shared" si="1"/>
        <v>80564</v>
      </c>
      <c r="F16" s="9">
        <f>-$C$36*(I11+I12+I13+I14+(I15-E15))/5</f>
        <v>-74403.740700321767</v>
      </c>
      <c r="G16" s="9">
        <v>-176.8</v>
      </c>
      <c r="H16" s="9">
        <v>-6467.2</v>
      </c>
      <c r="I16" s="9">
        <f>SUM(D16:H16)+I15+J15-K16</f>
        <v>1378305.4808570291</v>
      </c>
      <c r="J16" s="9">
        <f t="shared" si="3"/>
        <v>-551.32219234281172</v>
      </c>
      <c r="K16" s="9">
        <f>0.5*E16</f>
        <v>40282</v>
      </c>
      <c r="L16" s="38">
        <f t="shared" ref="L16:L29" si="7">+K16-F16</f>
        <v>114685.74070032177</v>
      </c>
      <c r="M16" s="9"/>
      <c r="N16" s="9"/>
      <c r="O16" s="9"/>
      <c r="P16" s="10"/>
      <c r="R16" s="11"/>
      <c r="S16" s="12"/>
    </row>
    <row r="17" spans="1:19">
      <c r="A17" s="2" t="s">
        <v>7</v>
      </c>
      <c r="B17" s="5" t="s">
        <v>29</v>
      </c>
      <c r="C17" s="16">
        <f t="shared" si="6"/>
        <v>1418036.1586646864</v>
      </c>
      <c r="D17" s="9">
        <f t="shared" si="0"/>
        <v>85082.169519881179</v>
      </c>
      <c r="E17" s="9">
        <f t="shared" si="1"/>
        <v>80564</v>
      </c>
      <c r="F17" s="9">
        <f t="shared" ref="F17:F29" si="8">-$C$36*(I12+I13+I14+I15+(I16-E16))/5</f>
        <v>-76822.479992855078</v>
      </c>
      <c r="G17" s="9">
        <v>-176.8</v>
      </c>
      <c r="H17" s="9">
        <v>-6467.2</v>
      </c>
      <c r="I17" s="9">
        <f t="shared" ref="I17:I29" si="9">SUM(D17:H17)+I16+J16-K17</f>
        <v>1419651.8481917125</v>
      </c>
      <c r="J17" s="9">
        <f t="shared" si="3"/>
        <v>-567.86073927668508</v>
      </c>
      <c r="K17" s="9">
        <f t="shared" ref="K17:K29" si="10">0.5*E17</f>
        <v>40282</v>
      </c>
      <c r="L17" s="38">
        <f t="shared" si="7"/>
        <v>117104.47999285508</v>
      </c>
      <c r="M17" s="9"/>
      <c r="N17" s="9"/>
      <c r="O17" s="9"/>
      <c r="P17" s="10"/>
      <c r="R17" s="11"/>
      <c r="S17" s="12"/>
    </row>
    <row r="18" spans="1:19">
      <c r="A18" s="2" t="s">
        <v>8</v>
      </c>
      <c r="B18" s="5" t="s">
        <v>30</v>
      </c>
      <c r="C18" s="16">
        <f t="shared" si="6"/>
        <v>1459365.9874524358</v>
      </c>
      <c r="D18" s="9">
        <f t="shared" si="0"/>
        <v>87561.959247146136</v>
      </c>
      <c r="E18" s="9">
        <f t="shared" si="1"/>
        <v>80564</v>
      </c>
      <c r="F18" s="9">
        <f t="shared" si="8"/>
        <v>-79267.154383098605</v>
      </c>
      <c r="G18" s="9">
        <v>-176.8</v>
      </c>
      <c r="H18" s="9">
        <v>-6467.2</v>
      </c>
      <c r="I18" s="9">
        <f t="shared" si="9"/>
        <v>1461016.7923164833</v>
      </c>
      <c r="J18" s="9">
        <f t="shared" si="3"/>
        <v>-584.40671692659339</v>
      </c>
      <c r="K18" s="9">
        <f t="shared" si="10"/>
        <v>40282</v>
      </c>
      <c r="L18" s="38">
        <f t="shared" si="7"/>
        <v>119549.1543830986</v>
      </c>
      <c r="M18" s="9"/>
      <c r="N18" s="9"/>
      <c r="O18" s="9"/>
      <c r="P18" s="10"/>
      <c r="R18" s="11"/>
      <c r="S18" s="12"/>
    </row>
    <row r="19" spans="1:19">
      <c r="A19" s="2" t="s">
        <v>9</v>
      </c>
      <c r="B19" s="5" t="s">
        <v>31</v>
      </c>
      <c r="C19" s="16">
        <f t="shared" si="6"/>
        <v>1500714.3855995568</v>
      </c>
      <c r="D19" s="9">
        <f t="shared" si="0"/>
        <v>90042.863135973414</v>
      </c>
      <c r="E19" s="9">
        <f t="shared" si="1"/>
        <v>80564</v>
      </c>
      <c r="F19" s="9">
        <f t="shared" si="8"/>
        <v>-81733.893828334287</v>
      </c>
      <c r="G19" s="9">
        <v>-176.8</v>
      </c>
      <c r="H19" s="9">
        <v>-6467.2</v>
      </c>
      <c r="I19" s="9">
        <f t="shared" si="9"/>
        <v>1502379.354907196</v>
      </c>
      <c r="J19" s="9">
        <f t="shared" si="3"/>
        <v>-600.95174196287849</v>
      </c>
      <c r="K19" s="9">
        <f t="shared" si="10"/>
        <v>40282</v>
      </c>
      <c r="L19" s="38">
        <f t="shared" si="7"/>
        <v>122015.89382833429</v>
      </c>
      <c r="M19" s="9"/>
      <c r="N19" s="9"/>
      <c r="O19" s="9"/>
      <c r="P19" s="10"/>
      <c r="R19" s="11"/>
      <c r="S19" s="12"/>
    </row>
    <row r="20" spans="1:19">
      <c r="A20" s="2" t="s">
        <v>10</v>
      </c>
      <c r="B20" s="5" t="s">
        <v>32</v>
      </c>
      <c r="C20" s="16">
        <f t="shared" si="6"/>
        <v>1542060.4031652331</v>
      </c>
      <c r="D20" s="9">
        <f t="shared" si="0"/>
        <v>92523.624189913986</v>
      </c>
      <c r="E20" s="9">
        <f t="shared" si="1"/>
        <v>80564</v>
      </c>
      <c r="F20" s="9">
        <f t="shared" si="8"/>
        <v>-84213.487187344857</v>
      </c>
      <c r="G20" s="9">
        <v>-176.8</v>
      </c>
      <c r="H20" s="9">
        <v>-6467.2</v>
      </c>
      <c r="I20" s="9">
        <f t="shared" si="9"/>
        <v>1543726.5401678022</v>
      </c>
      <c r="J20" s="9">
        <f t="shared" si="3"/>
        <v>-617.49061606712098</v>
      </c>
      <c r="K20" s="9">
        <f t="shared" si="10"/>
        <v>40282</v>
      </c>
      <c r="L20" s="38">
        <f t="shared" si="7"/>
        <v>124495.48718734486</v>
      </c>
      <c r="M20" s="9"/>
      <c r="N20" s="9"/>
      <c r="O20" s="9"/>
      <c r="P20" s="10"/>
      <c r="R20" s="11"/>
      <c r="S20" s="12"/>
    </row>
    <row r="21" spans="1:19">
      <c r="A21" s="2" t="s">
        <v>11</v>
      </c>
      <c r="B21" s="5" t="s">
        <v>33</v>
      </c>
      <c r="C21" s="16">
        <f t="shared" si="6"/>
        <v>1583391.0495517352</v>
      </c>
      <c r="D21" s="9">
        <f t="shared" si="0"/>
        <v>95003.462973104106</v>
      </c>
      <c r="E21" s="9">
        <f t="shared" si="1"/>
        <v>80564</v>
      </c>
      <c r="F21" s="9">
        <f t="shared" si="8"/>
        <v>-86694.192197282668</v>
      </c>
      <c r="G21" s="9">
        <v>-176.8</v>
      </c>
      <c r="H21" s="9">
        <v>-6467.2</v>
      </c>
      <c r="I21" s="9">
        <f t="shared" si="9"/>
        <v>1585056.3203275567</v>
      </c>
      <c r="J21" s="9">
        <f t="shared" si="3"/>
        <v>-634.02252813102268</v>
      </c>
      <c r="K21" s="9">
        <f t="shared" si="10"/>
        <v>40282</v>
      </c>
      <c r="L21" s="38">
        <f t="shared" si="7"/>
        <v>126976.19219728267</v>
      </c>
      <c r="M21" s="9"/>
      <c r="N21" s="9"/>
      <c r="O21" s="9"/>
      <c r="P21" s="10"/>
      <c r="R21" s="11"/>
      <c r="S21" s="12"/>
    </row>
    <row r="22" spans="1:19">
      <c r="A22" s="2" t="s">
        <v>12</v>
      </c>
      <c r="B22" s="5" t="s">
        <v>34</v>
      </c>
      <c r="C22" s="16">
        <f t="shared" si="6"/>
        <v>1624704.2977994257</v>
      </c>
      <c r="D22" s="9">
        <f t="shared" si="0"/>
        <v>97482.257867965542</v>
      </c>
      <c r="E22" s="9">
        <f t="shared" si="1"/>
        <v>80564</v>
      </c>
      <c r="F22" s="9">
        <f t="shared" si="8"/>
        <v>-89175.202270929003</v>
      </c>
      <c r="G22" s="9">
        <v>-176.8</v>
      </c>
      <c r="H22" s="9">
        <v>-6467.2</v>
      </c>
      <c r="I22" s="9">
        <f t="shared" si="9"/>
        <v>1626367.3533964623</v>
      </c>
      <c r="J22" s="9">
        <f t="shared" si="3"/>
        <v>-650.54694135858495</v>
      </c>
      <c r="K22" s="9">
        <f t="shared" si="10"/>
        <v>40282</v>
      </c>
      <c r="L22" s="38">
        <f t="shared" si="7"/>
        <v>129457.202270929</v>
      </c>
      <c r="M22" s="9"/>
      <c r="N22" s="9"/>
      <c r="O22" s="9"/>
      <c r="P22" s="10"/>
      <c r="R22" s="11"/>
      <c r="S22" s="12"/>
    </row>
    <row r="23" spans="1:19">
      <c r="A23" s="2" t="s">
        <v>13</v>
      </c>
      <c r="B23" s="5" t="s">
        <v>35</v>
      </c>
      <c r="C23" s="16">
        <f t="shared" si="6"/>
        <v>1665998.8064551037</v>
      </c>
      <c r="D23" s="9">
        <f t="shared" si="0"/>
        <v>99959.928387306223</v>
      </c>
      <c r="E23" s="9">
        <f t="shared" si="1"/>
        <v>80564</v>
      </c>
      <c r="F23" s="9">
        <f t="shared" si="8"/>
        <v>-91655.788333385994</v>
      </c>
      <c r="G23" s="9">
        <v>-176.8</v>
      </c>
      <c r="H23" s="9">
        <v>-6467.2</v>
      </c>
      <c r="I23" s="9">
        <f t="shared" si="9"/>
        <v>1667658.9465090239</v>
      </c>
      <c r="J23" s="9">
        <f t="shared" si="3"/>
        <v>-667.06357860360959</v>
      </c>
      <c r="K23" s="9">
        <f t="shared" si="10"/>
        <v>40282</v>
      </c>
      <c r="L23" s="38">
        <f t="shared" si="7"/>
        <v>131937.78833338601</v>
      </c>
      <c r="M23" s="9"/>
      <c r="N23" s="9"/>
      <c r="O23" s="9"/>
      <c r="P23" s="10"/>
      <c r="R23" s="11"/>
      <c r="S23" s="12"/>
    </row>
    <row r="24" spans="1:19">
      <c r="A24" s="2" t="s">
        <v>14</v>
      </c>
      <c r="B24" s="5" t="s">
        <v>36</v>
      </c>
      <c r="C24" s="16">
        <f t="shared" si="6"/>
        <v>1707273.8829304203</v>
      </c>
      <c r="D24" s="9">
        <f t="shared" si="0"/>
        <v>102436.43297582521</v>
      </c>
      <c r="E24" s="9">
        <f t="shared" si="1"/>
        <v>80564</v>
      </c>
      <c r="F24" s="9">
        <f t="shared" si="8"/>
        <v>-94135.494183696486</v>
      </c>
      <c r="G24" s="9">
        <v>-176.8</v>
      </c>
      <c r="H24" s="9">
        <v>-6467.2</v>
      </c>
      <c r="I24" s="9">
        <f t="shared" si="9"/>
        <v>1708930.8217225492</v>
      </c>
      <c r="J24" s="9">
        <f t="shared" si="3"/>
        <v>-683.57232868901974</v>
      </c>
      <c r="K24" s="9">
        <f t="shared" si="10"/>
        <v>40282</v>
      </c>
      <c r="L24" s="38">
        <f t="shared" si="7"/>
        <v>134417.49418369649</v>
      </c>
      <c r="M24" s="9"/>
      <c r="N24" s="9"/>
      <c r="O24" s="9"/>
      <c r="P24" s="10"/>
      <c r="R24" s="11"/>
      <c r="S24" s="12"/>
    </row>
    <row r="25" spans="1:19">
      <c r="A25" s="2" t="s">
        <v>15</v>
      </c>
      <c r="B25" s="5" t="s">
        <v>37</v>
      </c>
      <c r="C25" s="16">
        <f t="shared" si="6"/>
        <v>1748529.2493938601</v>
      </c>
      <c r="D25" s="9">
        <f t="shared" si="0"/>
        <v>104911.7549636316</v>
      </c>
      <c r="E25" s="9">
        <f t="shared" si="1"/>
        <v>80564</v>
      </c>
      <c r="F25" s="9">
        <f t="shared" si="8"/>
        <v>-96614.111785480723</v>
      </c>
      <c r="G25" s="9">
        <v>-176.8</v>
      </c>
      <c r="H25" s="9">
        <v>-6467.2</v>
      </c>
      <c r="I25" s="9">
        <f t="shared" si="9"/>
        <v>1750182.8925720109</v>
      </c>
      <c r="J25" s="9">
        <f t="shared" si="3"/>
        <v>-700.07315702880442</v>
      </c>
      <c r="K25" s="9">
        <f t="shared" si="10"/>
        <v>40282</v>
      </c>
      <c r="L25" s="38">
        <f t="shared" si="7"/>
        <v>136896.11178548072</v>
      </c>
      <c r="M25" s="9"/>
      <c r="N25" s="9"/>
      <c r="O25" s="9"/>
      <c r="P25" s="10"/>
      <c r="R25" s="11"/>
      <c r="S25" s="12"/>
    </row>
    <row r="26" spans="1:19">
      <c r="A26" s="2" t="s">
        <v>16</v>
      </c>
      <c r="B26" s="5" t="s">
        <v>38</v>
      </c>
      <c r="C26" s="16">
        <f t="shared" si="6"/>
        <v>1789764.8194149821</v>
      </c>
      <c r="D26" s="9">
        <f t="shared" si="0"/>
        <v>107385.88916489892</v>
      </c>
      <c r="E26" s="9">
        <f t="shared" si="1"/>
        <v>80564</v>
      </c>
      <c r="F26" s="9">
        <f t="shared" si="8"/>
        <v>-99091.588014331239</v>
      </c>
      <c r="G26" s="9">
        <v>-176.8</v>
      </c>
      <c r="H26" s="9">
        <v>-6467.2</v>
      </c>
      <c r="I26" s="9">
        <f t="shared" si="9"/>
        <v>1791415.1205655497</v>
      </c>
      <c r="J26" s="9">
        <f t="shared" si="3"/>
        <v>-716.56604822621989</v>
      </c>
      <c r="K26" s="9">
        <f t="shared" si="10"/>
        <v>40282</v>
      </c>
      <c r="L26" s="38">
        <f t="shared" si="7"/>
        <v>139373.58801433124</v>
      </c>
      <c r="M26" s="9"/>
      <c r="N26" s="9"/>
      <c r="O26" s="9"/>
      <c r="P26" s="10"/>
      <c r="R26" s="11"/>
      <c r="S26" s="12"/>
    </row>
    <row r="27" spans="1:19">
      <c r="A27" s="2" t="s">
        <v>17</v>
      </c>
      <c r="B27" s="5" t="s">
        <v>39</v>
      </c>
      <c r="C27" s="16">
        <f t="shared" si="6"/>
        <v>1830980.5545173234</v>
      </c>
      <c r="D27" s="9">
        <f t="shared" si="0"/>
        <v>109858.8332710394</v>
      </c>
      <c r="E27" s="9">
        <f t="shared" si="1"/>
        <v>80564</v>
      </c>
      <c r="F27" s="9">
        <f t="shared" si="8"/>
        <v>-101567.89361718716</v>
      </c>
      <c r="G27" s="9">
        <v>-176.8</v>
      </c>
      <c r="H27" s="9">
        <v>-6467.2</v>
      </c>
      <c r="I27" s="9">
        <f t="shared" si="9"/>
        <v>1832627.4941711756</v>
      </c>
      <c r="J27" s="9">
        <f t="shared" si="3"/>
        <v>-733.05099766847025</v>
      </c>
      <c r="K27" s="9">
        <f t="shared" si="10"/>
        <v>40282</v>
      </c>
      <c r="L27" s="38">
        <f t="shared" si="7"/>
        <v>141849.89361718716</v>
      </c>
      <c r="M27" s="9"/>
      <c r="N27" s="9"/>
      <c r="O27" s="9"/>
      <c r="P27" s="10"/>
      <c r="R27" s="11"/>
      <c r="S27" s="12"/>
    </row>
    <row r="28" spans="1:19">
      <c r="A28" s="2" t="s">
        <v>18</v>
      </c>
      <c r="B28" s="5" t="s">
        <v>62</v>
      </c>
      <c r="C28" s="16">
        <f t="shared" si="6"/>
        <v>1872176.4431735072</v>
      </c>
      <c r="D28" s="9">
        <f t="shared" si="0"/>
        <v>112330.58659041043</v>
      </c>
      <c r="E28" s="9">
        <f t="shared" si="1"/>
        <v>80564</v>
      </c>
      <c r="F28" s="9">
        <f t="shared" si="8"/>
        <v>-104043.01530648371</v>
      </c>
      <c r="G28" s="9">
        <v>-176.8</v>
      </c>
      <c r="H28" s="9">
        <v>-6467.2</v>
      </c>
      <c r="I28" s="9">
        <f t="shared" si="9"/>
        <v>1873820.014457434</v>
      </c>
      <c r="J28" s="9">
        <f t="shared" si="3"/>
        <v>-749.52800578297365</v>
      </c>
      <c r="K28" s="9">
        <f t="shared" si="10"/>
        <v>40282</v>
      </c>
      <c r="L28" s="38">
        <f t="shared" si="7"/>
        <v>144325.01530648372</v>
      </c>
      <c r="M28" s="9"/>
      <c r="N28" s="9"/>
      <c r="O28" s="9"/>
      <c r="P28" s="10"/>
      <c r="R28" s="11"/>
      <c r="S28" s="12"/>
    </row>
    <row r="29" spans="1:19">
      <c r="A29" s="2" t="s">
        <v>19</v>
      </c>
      <c r="B29" s="5" t="s">
        <v>63</v>
      </c>
      <c r="C29" s="41">
        <f t="shared" si="6"/>
        <v>1913352.486451651</v>
      </c>
      <c r="D29" s="42">
        <f t="shared" si="0"/>
        <v>114801.14918709906</v>
      </c>
      <c r="E29" s="42">
        <f t="shared" si="1"/>
        <v>80564</v>
      </c>
      <c r="F29" s="42">
        <f t="shared" si="8"/>
        <v>-106516.94812186463</v>
      </c>
      <c r="G29" s="42">
        <v>-176.8</v>
      </c>
      <c r="H29" s="42">
        <v>-6467.2</v>
      </c>
      <c r="I29" s="42">
        <f t="shared" si="9"/>
        <v>1914992.6875168853</v>
      </c>
      <c r="J29" s="42">
        <f t="shared" si="3"/>
        <v>-765.99707500675413</v>
      </c>
      <c r="K29" s="43">
        <f t="shared" si="10"/>
        <v>40282</v>
      </c>
      <c r="L29" s="39">
        <f t="shared" si="7"/>
        <v>146798.94812186464</v>
      </c>
      <c r="M29" s="9"/>
      <c r="N29" s="9"/>
      <c r="O29" s="9"/>
      <c r="P29" s="10"/>
      <c r="R29" s="11"/>
      <c r="S29" s="12"/>
    </row>
    <row r="30" spans="1:19">
      <c r="F30" s="1"/>
      <c r="G30" s="1"/>
      <c r="H30" s="1"/>
      <c r="J30" s="6"/>
      <c r="L30" s="36"/>
      <c r="S30" s="11"/>
    </row>
    <row r="31" spans="1:19">
      <c r="J31" s="6"/>
    </row>
    <row r="32" spans="1:19">
      <c r="J32" s="6"/>
    </row>
    <row r="33" spans="1:9" ht="15.75" thickBot="1">
      <c r="A33" s="23" t="s">
        <v>42</v>
      </c>
      <c r="B33" s="24"/>
    </row>
    <row r="34" spans="1:9" ht="15.75" thickBot="1">
      <c r="A34" s="6" t="s">
        <v>65</v>
      </c>
      <c r="B34" s="6"/>
    </row>
    <row r="35" spans="1:9" ht="15.75" thickBot="1">
      <c r="A35" t="s">
        <v>54</v>
      </c>
      <c r="C35" s="25">
        <v>0.06</v>
      </c>
    </row>
    <row r="36" spans="1:9" ht="15.75" thickBot="1">
      <c r="A36" t="s">
        <v>66</v>
      </c>
      <c r="C36" s="25">
        <v>0.06</v>
      </c>
    </row>
    <row r="37" spans="1:9">
      <c r="A37" t="s">
        <v>55</v>
      </c>
    </row>
    <row r="38" spans="1:9">
      <c r="A38" t="s">
        <v>56</v>
      </c>
    </row>
    <row r="39" spans="1:9">
      <c r="A39"/>
      <c r="F39" t="s">
        <v>52</v>
      </c>
      <c r="G39" t="s">
        <v>50</v>
      </c>
      <c r="H39"/>
      <c r="I39" t="s">
        <v>51</v>
      </c>
    </row>
    <row r="40" spans="1:9">
      <c r="A40" s="44" t="s">
        <v>43</v>
      </c>
      <c r="B40" s="44"/>
      <c r="C40" s="44"/>
      <c r="D40" s="44"/>
      <c r="E40" s="44"/>
      <c r="F40" s="19">
        <v>414</v>
      </c>
      <c r="G40" s="20">
        <v>1</v>
      </c>
      <c r="H40" s="20"/>
      <c r="I40" s="19">
        <f>+F40*G40</f>
        <v>414</v>
      </c>
    </row>
    <row r="41" spans="1:9">
      <c r="A41" s="44" t="s">
        <v>44</v>
      </c>
      <c r="B41" s="44"/>
      <c r="C41" s="44"/>
      <c r="D41" s="44"/>
      <c r="E41" s="44"/>
      <c r="F41" s="19">
        <v>37900</v>
      </c>
      <c r="G41" s="20">
        <v>1</v>
      </c>
      <c r="H41" s="20"/>
      <c r="I41" s="19">
        <f t="shared" ref="I41:I44" si="11">+F41*G41</f>
        <v>37900</v>
      </c>
    </row>
    <row r="42" spans="1:9">
      <c r="A42" s="44" t="s">
        <v>45</v>
      </c>
      <c r="B42" s="44"/>
      <c r="C42" s="44"/>
      <c r="D42" s="44"/>
      <c r="E42" s="44"/>
      <c r="F42" s="19">
        <v>7500</v>
      </c>
      <c r="G42" s="20">
        <v>0.5</v>
      </c>
      <c r="H42" s="20"/>
      <c r="I42" s="19">
        <f t="shared" si="11"/>
        <v>3750</v>
      </c>
    </row>
    <row r="43" spans="1:9">
      <c r="A43" s="44" t="s">
        <v>47</v>
      </c>
      <c r="B43" s="44"/>
      <c r="C43" s="44"/>
      <c r="D43" s="44"/>
      <c r="E43" s="44"/>
      <c r="F43" s="19">
        <v>38500</v>
      </c>
      <c r="G43" s="20">
        <v>1</v>
      </c>
      <c r="H43" s="20"/>
      <c r="I43" s="19">
        <f t="shared" si="11"/>
        <v>38500</v>
      </c>
    </row>
    <row r="44" spans="1:9" ht="15.75" thickBot="1">
      <c r="A44" s="44" t="s">
        <v>48</v>
      </c>
      <c r="B44" s="44"/>
      <c r="C44" s="44"/>
      <c r="D44" s="44"/>
      <c r="E44" s="44"/>
      <c r="F44" s="19">
        <v>0</v>
      </c>
      <c r="G44" s="20">
        <v>0.4</v>
      </c>
      <c r="H44" s="26"/>
      <c r="I44" s="21">
        <f t="shared" si="11"/>
        <v>0</v>
      </c>
    </row>
    <row r="45" spans="1:9" ht="15.75" thickBot="1">
      <c r="A45"/>
      <c r="F45" s="19">
        <f>SUM(F40:F44)</f>
        <v>84314</v>
      </c>
      <c r="G45" s="27"/>
      <c r="H45" s="27"/>
      <c r="I45" s="22">
        <f>SUM(I40:I44)</f>
        <v>80564</v>
      </c>
    </row>
    <row r="46" spans="1:9">
      <c r="A46"/>
      <c r="G46" s="6"/>
    </row>
    <row r="47" spans="1:9">
      <c r="A47" t="s">
        <v>53</v>
      </c>
      <c r="G47" s="6"/>
    </row>
    <row r="48" spans="1:9">
      <c r="A48" t="s">
        <v>64</v>
      </c>
    </row>
    <row r="49" spans="1:1">
      <c r="A49" t="s">
        <v>71</v>
      </c>
    </row>
    <row r="50" spans="1:1">
      <c r="A50" t="s">
        <v>70</v>
      </c>
    </row>
  </sheetData>
  <mergeCells count="7">
    <mergeCell ref="A43:E43"/>
    <mergeCell ref="A44:E44"/>
    <mergeCell ref="K6:S6"/>
    <mergeCell ref="C6:J6"/>
    <mergeCell ref="A40:E40"/>
    <mergeCell ref="A41:E41"/>
    <mergeCell ref="A42:E42"/>
  </mergeCells>
  <pageMargins left="0.2" right="0.2" top="0.75" bottom="0.75" header="0.3" footer="0.3"/>
  <pageSetup scale="64" orientation="landscape" r:id="rId1"/>
  <headerFooter>
    <oddHeader>&amp;C&amp;"-,Bold"&amp;18ATIF Payout Rate 6.0%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0"/>
  <sheetViews>
    <sheetView view="pageLayout" zoomScaleNormal="100" workbookViewId="0">
      <selection activeCell="B6" sqref="B6"/>
    </sheetView>
  </sheetViews>
  <sheetFormatPr defaultRowHeight="15"/>
  <cols>
    <col min="1" max="1" width="8.28515625" style="2" customWidth="1"/>
    <col min="2" max="2" width="19" style="2" customWidth="1"/>
    <col min="3" max="3" width="12" style="2" customWidth="1"/>
    <col min="4" max="4" width="9" style="2" customWidth="1"/>
    <col min="5" max="5" width="10.5703125" style="2" customWidth="1"/>
    <col min="6" max="6" width="15.42578125" style="2" customWidth="1"/>
    <col min="7" max="8" width="11.42578125" style="2" customWidth="1"/>
    <col min="9" max="9" width="11" style="2" customWidth="1"/>
    <col min="10" max="10" width="9" style="2" customWidth="1"/>
    <col min="11" max="11" width="12" style="6" bestFit="1" customWidth="1"/>
    <col min="12" max="12" width="14.28515625" style="34" customWidth="1"/>
    <col min="13" max="13" width="10.5703125" style="6" bestFit="1" customWidth="1"/>
    <col min="14" max="14" width="14.28515625" style="6" bestFit="1" customWidth="1"/>
    <col min="15" max="15" width="10.5703125" style="6" bestFit="1" customWidth="1"/>
    <col min="16" max="16" width="8.28515625" style="6" customWidth="1"/>
    <col min="17" max="17" width="3.7109375" style="6" customWidth="1"/>
    <col min="18" max="18" width="9.28515625" style="6" customWidth="1"/>
    <col min="19" max="19" width="12.140625" style="6" bestFit="1" customWidth="1"/>
    <col min="20" max="20" width="9.140625" style="6"/>
    <col min="21" max="16384" width="9.140625" style="2"/>
  </cols>
  <sheetData>
    <row r="1" spans="1:19">
      <c r="A1" t="s">
        <v>69</v>
      </c>
    </row>
    <row r="2" spans="1:19">
      <c r="A2" s="29" t="s">
        <v>58</v>
      </c>
      <c r="B2" s="30">
        <f ca="1">TODAY()</f>
        <v>40595</v>
      </c>
    </row>
    <row r="6" spans="1:19">
      <c r="C6" s="46" t="s">
        <v>41</v>
      </c>
      <c r="D6" s="47"/>
      <c r="E6" s="47"/>
      <c r="F6" s="47"/>
      <c r="G6" s="47"/>
      <c r="H6" s="47"/>
      <c r="I6" s="47"/>
      <c r="J6" s="47"/>
      <c r="K6" s="45"/>
      <c r="L6" s="45"/>
      <c r="M6" s="45"/>
      <c r="N6" s="45"/>
      <c r="O6" s="45"/>
      <c r="P6" s="45"/>
      <c r="Q6" s="45"/>
      <c r="R6" s="45"/>
      <c r="S6" s="45"/>
    </row>
    <row r="8" spans="1:19" ht="60">
      <c r="C8" s="17" t="s">
        <v>40</v>
      </c>
      <c r="D8" s="33" t="s">
        <v>21</v>
      </c>
      <c r="E8" s="32" t="s">
        <v>49</v>
      </c>
      <c r="F8" s="17" t="s">
        <v>68</v>
      </c>
      <c r="G8" s="17" t="s">
        <v>46</v>
      </c>
      <c r="H8" s="17" t="s">
        <v>57</v>
      </c>
      <c r="I8" s="40" t="s">
        <v>60</v>
      </c>
      <c r="J8" s="40" t="s">
        <v>61</v>
      </c>
      <c r="K8" s="17" t="s">
        <v>67</v>
      </c>
      <c r="L8" s="35" t="s">
        <v>59</v>
      </c>
      <c r="M8" s="31"/>
      <c r="N8" s="7"/>
      <c r="O8" s="31"/>
      <c r="P8" s="31"/>
      <c r="R8" s="7"/>
      <c r="S8" s="31"/>
    </row>
    <row r="9" spans="1:19">
      <c r="A9" s="2" t="s">
        <v>20</v>
      </c>
      <c r="B9" s="4">
        <v>41456</v>
      </c>
      <c r="C9" s="13"/>
      <c r="D9" s="14"/>
      <c r="E9" s="15">
        <v>1000000</v>
      </c>
      <c r="F9" s="15"/>
      <c r="G9" s="15"/>
      <c r="H9" s="15"/>
      <c r="I9" s="15">
        <f>E9</f>
        <v>1000000</v>
      </c>
      <c r="J9" s="9"/>
      <c r="L9" s="37"/>
      <c r="M9" s="9"/>
      <c r="N9" s="9"/>
      <c r="O9" s="9"/>
      <c r="P9" s="9"/>
    </row>
    <row r="10" spans="1:19">
      <c r="A10" s="2" t="s">
        <v>0</v>
      </c>
      <c r="B10" s="5" t="s">
        <v>22</v>
      </c>
      <c r="C10" s="16">
        <f>I9+0.5*E10+J9</f>
        <v>1040282</v>
      </c>
      <c r="D10" s="9">
        <f t="shared" ref="D10:D29" si="0">C10*$C$35</f>
        <v>62416.92</v>
      </c>
      <c r="E10" s="9">
        <f>+$I$45</f>
        <v>80564</v>
      </c>
      <c r="F10" s="9"/>
      <c r="G10" s="9">
        <f>'2011 analysis-6%'!G10</f>
        <v>-176.8</v>
      </c>
      <c r="H10" s="9">
        <f>'2011 analysis-6%'!H10</f>
        <v>-6467.2</v>
      </c>
      <c r="I10" s="9">
        <f>SUM(D10:H10)+I9+J9-K10</f>
        <v>1136336.92</v>
      </c>
      <c r="J10" s="9">
        <f>-I10*0.0004</f>
        <v>-454.53476799999999</v>
      </c>
      <c r="K10" s="9"/>
      <c r="L10" s="38"/>
      <c r="M10" s="9"/>
      <c r="N10" s="9"/>
      <c r="O10" s="9"/>
      <c r="P10" s="10"/>
      <c r="R10" s="11"/>
      <c r="S10" s="12"/>
    </row>
    <row r="11" spans="1:19">
      <c r="A11" s="2" t="s">
        <v>1</v>
      </c>
      <c r="B11" s="5" t="s">
        <v>23</v>
      </c>
      <c r="C11" s="16">
        <f>I10+0.5*E11+J10</f>
        <v>1176164.3852319999</v>
      </c>
      <c r="D11" s="9">
        <f t="shared" si="0"/>
        <v>70569.863113919986</v>
      </c>
      <c r="E11" s="9">
        <f t="shared" ref="E11:E29" si="1">+$I$45</f>
        <v>80564</v>
      </c>
      <c r="F11" s="9">
        <f>-C36*(I10-E10)</f>
        <v>-47509.781399999993</v>
      </c>
      <c r="G11" s="9">
        <f>'2011 analysis-6%'!G11</f>
        <v>-176.8</v>
      </c>
      <c r="H11" s="9">
        <f>'2011 analysis-6%'!H11</f>
        <v>-6467.2</v>
      </c>
      <c r="I11" s="9">
        <f t="shared" ref="I11:I15" si="2">SUM(D11:H11)+I10+J10-K11</f>
        <v>1192580.4669459199</v>
      </c>
      <c r="J11" s="9">
        <f t="shared" ref="J11:J29" si="3">-I11*0.0004</f>
        <v>-477.03218677836799</v>
      </c>
      <c r="K11" s="9">
        <f t="shared" ref="K11:K15" si="4">0.5*E11</f>
        <v>40282</v>
      </c>
      <c r="L11" s="38">
        <f t="shared" ref="L11:L29" si="5">+K11-F11</f>
        <v>87791.781399999993</v>
      </c>
      <c r="M11" s="9"/>
      <c r="N11" s="9"/>
      <c r="O11" s="9"/>
      <c r="P11" s="10"/>
      <c r="R11" s="11"/>
      <c r="S11" s="12"/>
    </row>
    <row r="12" spans="1:19">
      <c r="A12" s="2" t="s">
        <v>2</v>
      </c>
      <c r="B12" s="5" t="s">
        <v>24</v>
      </c>
      <c r="C12" s="16">
        <f t="shared" ref="C12:C29" si="6">I11+0.5*E12+J11</f>
        <v>1232385.4347591416</v>
      </c>
      <c r="D12" s="9">
        <f t="shared" si="0"/>
        <v>73943.126085548502</v>
      </c>
      <c r="E12" s="9">
        <f t="shared" si="1"/>
        <v>80564</v>
      </c>
      <c r="F12" s="9">
        <f>-C36*(I$10+(I11-E11))/2</f>
        <v>-50587.9512062832</v>
      </c>
      <c r="G12" s="9">
        <f>'2011 analysis-6%'!G12</f>
        <v>-176.8</v>
      </c>
      <c r="H12" s="9">
        <f>'2011 analysis-6%'!H12</f>
        <v>-6467.2</v>
      </c>
      <c r="I12" s="9">
        <f t="shared" si="2"/>
        <v>1249096.6096384069</v>
      </c>
      <c r="J12" s="9">
        <f t="shared" si="3"/>
        <v>-499.63864385536277</v>
      </c>
      <c r="K12" s="9">
        <f t="shared" si="4"/>
        <v>40282</v>
      </c>
      <c r="L12" s="38">
        <f t="shared" si="5"/>
        <v>90869.951206283207</v>
      </c>
      <c r="M12" s="9"/>
      <c r="N12" s="9"/>
      <c r="O12" s="9"/>
      <c r="P12" s="10"/>
      <c r="R12" s="11"/>
      <c r="S12" s="12"/>
    </row>
    <row r="13" spans="1:19">
      <c r="A13" s="2" t="s">
        <v>3</v>
      </c>
      <c r="B13" s="5" t="s">
        <v>25</v>
      </c>
      <c r="C13" s="16">
        <f t="shared" si="6"/>
        <v>1288878.9709945514</v>
      </c>
      <c r="D13" s="9">
        <f t="shared" si="0"/>
        <v>77332.738259673089</v>
      </c>
      <c r="E13" s="9">
        <f t="shared" si="1"/>
        <v>80564</v>
      </c>
      <c r="F13" s="9">
        <f>-C36*(I$10+I11+(I12-E12))/3</f>
        <v>-52461.749948764897</v>
      </c>
      <c r="G13" s="9">
        <f>'2011 analysis-6%'!G13</f>
        <v>-176.8</v>
      </c>
      <c r="H13" s="9">
        <f>'2011 analysis-6%'!H13</f>
        <v>-6467.2</v>
      </c>
      <c r="I13" s="9">
        <f t="shared" si="2"/>
        <v>1307105.9593054596</v>
      </c>
      <c r="J13" s="9">
        <f t="shared" si="3"/>
        <v>-522.84238372218385</v>
      </c>
      <c r="K13" s="9">
        <f t="shared" si="4"/>
        <v>40282</v>
      </c>
      <c r="L13" s="38">
        <f t="shared" si="5"/>
        <v>92743.749948764889</v>
      </c>
      <c r="M13" s="9"/>
      <c r="N13" s="9"/>
      <c r="O13" s="9"/>
      <c r="P13" s="10"/>
      <c r="R13" s="11"/>
      <c r="S13" s="12"/>
    </row>
    <row r="14" spans="1:19">
      <c r="A14" s="2" t="s">
        <v>4</v>
      </c>
      <c r="B14" s="5" t="s">
        <v>26</v>
      </c>
      <c r="C14" s="16">
        <f t="shared" si="6"/>
        <v>1346865.1169217376</v>
      </c>
      <c r="D14" s="9">
        <f t="shared" si="0"/>
        <v>80811.907015304256</v>
      </c>
      <c r="E14" s="9">
        <f t="shared" si="1"/>
        <v>80564</v>
      </c>
      <c r="F14" s="9">
        <f>-C36*(I$10+I11+I12+(I13-E13))/4</f>
        <v>-54051.254503760094</v>
      </c>
      <c r="G14" s="9">
        <f>'2011 analysis-6%'!G14</f>
        <v>-176.8</v>
      </c>
      <c r="H14" s="9">
        <f>'2011 analysis-6%'!H14</f>
        <v>-6467.2</v>
      </c>
      <c r="I14" s="9">
        <f t="shared" si="2"/>
        <v>1366981.7694332816</v>
      </c>
      <c r="J14" s="9">
        <f t="shared" si="3"/>
        <v>-546.79270777331271</v>
      </c>
      <c r="K14" s="9">
        <f t="shared" si="4"/>
        <v>40282</v>
      </c>
      <c r="L14" s="38">
        <f t="shared" si="5"/>
        <v>94333.254503760094</v>
      </c>
      <c r="M14" s="9"/>
      <c r="N14" s="9"/>
      <c r="O14" s="9"/>
      <c r="P14" s="10"/>
      <c r="R14" s="11"/>
      <c r="S14" s="12"/>
    </row>
    <row r="15" spans="1:19">
      <c r="A15" s="2" t="s">
        <v>5</v>
      </c>
      <c r="B15" s="5" t="s">
        <v>27</v>
      </c>
      <c r="C15" s="16">
        <f t="shared" si="6"/>
        <v>1406716.9767255082</v>
      </c>
      <c r="D15" s="9">
        <f t="shared" si="0"/>
        <v>84403.018603530494</v>
      </c>
      <c r="E15" s="9">
        <f t="shared" si="1"/>
        <v>80564</v>
      </c>
      <c r="F15" s="9">
        <f>-$C$36*(I10+I11+I12+I13+(I14-E14))/5</f>
        <v>-55543.839527907607</v>
      </c>
      <c r="G15" s="9">
        <f>'2011 analysis-6%'!G15</f>
        <v>-176.8</v>
      </c>
      <c r="H15" s="9">
        <f>'2011 analysis-6%'!H15</f>
        <v>-6467.2</v>
      </c>
      <c r="I15" s="9">
        <f t="shared" si="2"/>
        <v>1428932.1558011312</v>
      </c>
      <c r="J15" s="9">
        <f t="shared" si="3"/>
        <v>-571.57286232045249</v>
      </c>
      <c r="K15" s="9">
        <f t="shared" si="4"/>
        <v>40282</v>
      </c>
      <c r="L15" s="38">
        <f t="shared" si="5"/>
        <v>95825.839527907607</v>
      </c>
      <c r="M15" s="9"/>
      <c r="N15" s="9"/>
      <c r="O15" s="9"/>
      <c r="P15" s="10"/>
      <c r="R15" s="11"/>
      <c r="S15" s="12"/>
    </row>
    <row r="16" spans="1:19">
      <c r="A16" s="2" t="s">
        <v>6</v>
      </c>
      <c r="B16" s="5" t="s">
        <v>28</v>
      </c>
      <c r="C16" s="16">
        <f t="shared" si="6"/>
        <v>1468642.5829388108</v>
      </c>
      <c r="D16" s="9">
        <f t="shared" si="0"/>
        <v>88118.55497632864</v>
      </c>
      <c r="E16" s="9">
        <f t="shared" si="1"/>
        <v>80564</v>
      </c>
      <c r="F16" s="9">
        <f>-$C$36*(I11+I12+I13+I14+(I15-E15))/5</f>
        <v>-58177.196650117789</v>
      </c>
      <c r="G16" s="9">
        <f>'2011 analysis-6%'!G16</f>
        <v>-176.8</v>
      </c>
      <c r="H16" s="9">
        <f>'2011 analysis-6%'!H16</f>
        <v>-6467.2</v>
      </c>
      <c r="I16" s="9">
        <f>SUM(D16:H16)+I15+J15-K16</f>
        <v>1491939.9412650217</v>
      </c>
      <c r="J16" s="9">
        <f t="shared" si="3"/>
        <v>-596.77597650600865</v>
      </c>
      <c r="K16" s="9">
        <f>0.5*E16</f>
        <v>40282</v>
      </c>
      <c r="L16" s="38">
        <f t="shared" si="5"/>
        <v>98459.196650117781</v>
      </c>
      <c r="M16" s="9"/>
      <c r="N16" s="9"/>
      <c r="O16" s="9"/>
      <c r="P16" s="10"/>
      <c r="R16" s="11"/>
      <c r="S16" s="12"/>
    </row>
    <row r="17" spans="1:19">
      <c r="A17" s="2" t="s">
        <v>7</v>
      </c>
      <c r="B17" s="5" t="s">
        <v>29</v>
      </c>
      <c r="C17" s="16">
        <f t="shared" si="6"/>
        <v>1531625.1652885156</v>
      </c>
      <c r="D17" s="9">
        <f t="shared" si="0"/>
        <v>91897.509917310934</v>
      </c>
      <c r="E17" s="9">
        <f t="shared" si="1"/>
        <v>80564</v>
      </c>
      <c r="F17" s="9">
        <f t="shared" ref="F17:F29" si="7">-$C$36*(I12+I13+I14+I15+(I16-E16))/5</f>
        <v>-60871.431918989707</v>
      </c>
      <c r="G17" s="9">
        <f>'2011 analysis-6%'!G17</f>
        <v>-176.8</v>
      </c>
      <c r="H17" s="9">
        <f>'2011 analysis-6%'!H17</f>
        <v>-6467.2</v>
      </c>
      <c r="I17" s="9">
        <f t="shared" ref="I17:I29" si="8">SUM(D17:H17)+I16+J16-K17</f>
        <v>1556007.2432868369</v>
      </c>
      <c r="J17" s="9">
        <f t="shared" si="3"/>
        <v>-622.40289731473479</v>
      </c>
      <c r="K17" s="9">
        <f t="shared" ref="K17:K29" si="9">0.5*E17</f>
        <v>40282</v>
      </c>
      <c r="L17" s="38">
        <f t="shared" si="5"/>
        <v>101153.43191898971</v>
      </c>
      <c r="M17" s="9"/>
      <c r="N17" s="9"/>
      <c r="O17" s="9"/>
      <c r="P17" s="10"/>
      <c r="R17" s="11"/>
      <c r="S17" s="12"/>
    </row>
    <row r="18" spans="1:19">
      <c r="A18" s="2" t="s">
        <v>8</v>
      </c>
      <c r="B18" s="5" t="s">
        <v>30</v>
      </c>
      <c r="C18" s="16">
        <f t="shared" si="6"/>
        <v>1595666.8403895223</v>
      </c>
      <c r="D18" s="9">
        <f t="shared" si="0"/>
        <v>95740.010423371335</v>
      </c>
      <c r="E18" s="9">
        <f t="shared" si="1"/>
        <v>80564</v>
      </c>
      <c r="F18" s="9">
        <f t="shared" si="7"/>
        <v>-63633.627621825573</v>
      </c>
      <c r="G18" s="9">
        <f>'2011 analysis-6%'!G18</f>
        <v>-176.8</v>
      </c>
      <c r="H18" s="9">
        <f>'2011 analysis-6%'!H18</f>
        <v>-6467.2</v>
      </c>
      <c r="I18" s="9">
        <f t="shared" si="8"/>
        <v>1621129.223191068</v>
      </c>
      <c r="J18" s="9">
        <f t="shared" si="3"/>
        <v>-648.45168927642726</v>
      </c>
      <c r="K18" s="9">
        <f t="shared" si="9"/>
        <v>40282</v>
      </c>
      <c r="L18" s="38">
        <f t="shared" si="5"/>
        <v>103915.62762182558</v>
      </c>
      <c r="M18" s="9"/>
      <c r="N18" s="9"/>
      <c r="O18" s="9"/>
      <c r="P18" s="10"/>
      <c r="R18" s="11"/>
      <c r="S18" s="12"/>
    </row>
    <row r="19" spans="1:19">
      <c r="A19" s="2" t="s">
        <v>9</v>
      </c>
      <c r="B19" s="5" t="s">
        <v>31</v>
      </c>
      <c r="C19" s="16">
        <f t="shared" si="6"/>
        <v>1660762.7715017917</v>
      </c>
      <c r="D19" s="9">
        <f t="shared" si="0"/>
        <v>99645.766290107495</v>
      </c>
      <c r="E19" s="9">
        <f t="shared" si="1"/>
        <v>80564</v>
      </c>
      <c r="F19" s="9">
        <f t="shared" si="7"/>
        <v>-66459.836996796046</v>
      </c>
      <c r="G19" s="9">
        <f>'2011 analysis-6%'!G19</f>
        <v>-176.8</v>
      </c>
      <c r="H19" s="9">
        <f>'2011 analysis-6%'!H19</f>
        <v>-6467.2</v>
      </c>
      <c r="I19" s="9">
        <f t="shared" si="8"/>
        <v>1687304.7007951031</v>
      </c>
      <c r="J19" s="9">
        <f t="shared" si="3"/>
        <v>-674.9218803180413</v>
      </c>
      <c r="K19" s="9">
        <f t="shared" si="9"/>
        <v>40282</v>
      </c>
      <c r="L19" s="38">
        <f t="shared" si="5"/>
        <v>106741.83699679605</v>
      </c>
      <c r="M19" s="9"/>
      <c r="N19" s="9"/>
      <c r="O19" s="9"/>
      <c r="P19" s="10"/>
      <c r="R19" s="11"/>
      <c r="S19" s="12"/>
    </row>
    <row r="20" spans="1:19">
      <c r="A20" s="2" t="s">
        <v>10</v>
      </c>
      <c r="B20" s="5" t="s">
        <v>32</v>
      </c>
      <c r="C20" s="16">
        <f t="shared" si="6"/>
        <v>1726911.778914785</v>
      </c>
      <c r="D20" s="9">
        <f t="shared" si="0"/>
        <v>103614.70673488709</v>
      </c>
      <c r="E20" s="9">
        <f t="shared" si="1"/>
        <v>80564</v>
      </c>
      <c r="F20" s="9">
        <f t="shared" si="7"/>
        <v>-69342.743379052437</v>
      </c>
      <c r="G20" s="9">
        <f>'2011 analysis-6%'!G20</f>
        <v>-176.8</v>
      </c>
      <c r="H20" s="9">
        <f>'2011 analysis-6%'!H20</f>
        <v>-6467.2</v>
      </c>
      <c r="I20" s="9">
        <f t="shared" si="8"/>
        <v>1754539.7422706196</v>
      </c>
      <c r="J20" s="9">
        <f t="shared" si="3"/>
        <v>-701.81589690824785</v>
      </c>
      <c r="K20" s="9">
        <f t="shared" si="9"/>
        <v>40282</v>
      </c>
      <c r="L20" s="38">
        <f t="shared" si="5"/>
        <v>109624.74337905244</v>
      </c>
      <c r="M20" s="9"/>
      <c r="N20" s="9"/>
      <c r="O20" s="9"/>
      <c r="P20" s="10"/>
      <c r="R20" s="11"/>
      <c r="S20" s="12"/>
    </row>
    <row r="21" spans="1:19">
      <c r="A21" s="2" t="s">
        <v>11</v>
      </c>
      <c r="B21" s="5" t="s">
        <v>33</v>
      </c>
      <c r="C21" s="16">
        <f t="shared" si="6"/>
        <v>1794119.9263737113</v>
      </c>
      <c r="D21" s="9">
        <f t="shared" si="0"/>
        <v>107647.19558242268</v>
      </c>
      <c r="E21" s="9">
        <f t="shared" si="1"/>
        <v>80564</v>
      </c>
      <c r="F21" s="9">
        <f t="shared" si="7"/>
        <v>-72273.211657277847</v>
      </c>
      <c r="G21" s="9">
        <f>'2011 analysis-6%'!G21</f>
        <v>-176.8</v>
      </c>
      <c r="H21" s="9">
        <f>'2011 analysis-6%'!H21</f>
        <v>-6467.2</v>
      </c>
      <c r="I21" s="9">
        <f t="shared" si="8"/>
        <v>1822849.9102988562</v>
      </c>
      <c r="J21" s="9">
        <f t="shared" si="3"/>
        <v>-729.13996411954247</v>
      </c>
      <c r="K21" s="9">
        <f t="shared" si="9"/>
        <v>40282</v>
      </c>
      <c r="L21" s="38">
        <f t="shared" si="5"/>
        <v>112555.21165727785</v>
      </c>
      <c r="M21" s="9"/>
      <c r="N21" s="9"/>
      <c r="O21" s="9"/>
      <c r="P21" s="10"/>
      <c r="R21" s="11"/>
      <c r="S21" s="12"/>
    </row>
    <row r="22" spans="1:19">
      <c r="A22" s="2" t="s">
        <v>12</v>
      </c>
      <c r="B22" s="5" t="s">
        <v>34</v>
      </c>
      <c r="C22" s="16">
        <f t="shared" si="6"/>
        <v>1862402.7703347367</v>
      </c>
      <c r="D22" s="9">
        <f t="shared" si="0"/>
        <v>111744.1662200842</v>
      </c>
      <c r="E22" s="9">
        <f t="shared" si="1"/>
        <v>80564</v>
      </c>
      <c r="F22" s="9">
        <f t="shared" si="7"/>
        <v>-75251.401378582348</v>
      </c>
      <c r="G22" s="9">
        <f>'2011 analysis-6%'!G22</f>
        <v>-176.8</v>
      </c>
      <c r="H22" s="9">
        <f>'2011 analysis-6%'!H22</f>
        <v>-6467.2</v>
      </c>
      <c r="I22" s="9">
        <f t="shared" si="8"/>
        <v>1892251.5351762385</v>
      </c>
      <c r="J22" s="9">
        <f t="shared" si="3"/>
        <v>-756.90061407049541</v>
      </c>
      <c r="K22" s="9">
        <f t="shared" si="9"/>
        <v>40282</v>
      </c>
      <c r="L22" s="38">
        <f t="shared" si="5"/>
        <v>115533.40137858235</v>
      </c>
      <c r="M22" s="9"/>
      <c r="N22" s="9"/>
      <c r="O22" s="9"/>
      <c r="P22" s="10"/>
      <c r="R22" s="11"/>
      <c r="S22" s="12"/>
    </row>
    <row r="23" spans="1:19">
      <c r="A23" s="2" t="s">
        <v>13</v>
      </c>
      <c r="B23" s="5" t="s">
        <v>35</v>
      </c>
      <c r="C23" s="16">
        <f t="shared" si="6"/>
        <v>1931776.634562168</v>
      </c>
      <c r="D23" s="9">
        <f t="shared" si="0"/>
        <v>115906.59807373009</v>
      </c>
      <c r="E23" s="9">
        <f t="shared" si="1"/>
        <v>80564</v>
      </c>
      <c r="F23" s="9">
        <f t="shared" si="7"/>
        <v>-78277.600005586952</v>
      </c>
      <c r="G23" s="9">
        <f>'2011 analysis-6%'!G23</f>
        <v>-176.8</v>
      </c>
      <c r="H23" s="9">
        <f>'2011 analysis-6%'!H23</f>
        <v>-6467.2</v>
      </c>
      <c r="I23" s="9">
        <f t="shared" si="8"/>
        <v>1962761.6326303112</v>
      </c>
      <c r="J23" s="9">
        <f t="shared" si="3"/>
        <v>-785.10465305212449</v>
      </c>
      <c r="K23" s="9">
        <f t="shared" si="9"/>
        <v>40282</v>
      </c>
      <c r="L23" s="38">
        <f t="shared" si="5"/>
        <v>118559.60000558695</v>
      </c>
      <c r="M23" s="9"/>
      <c r="N23" s="9"/>
      <c r="O23" s="9"/>
      <c r="P23" s="10"/>
      <c r="R23" s="11"/>
      <c r="S23" s="12"/>
    </row>
    <row r="24" spans="1:19">
      <c r="A24" s="2" t="s">
        <v>14</v>
      </c>
      <c r="B24" s="5" t="s">
        <v>36</v>
      </c>
      <c r="C24" s="16">
        <f t="shared" si="6"/>
        <v>2002258.5279772591</v>
      </c>
      <c r="D24" s="9">
        <f t="shared" si="0"/>
        <v>120135.51167863555</v>
      </c>
      <c r="E24" s="9">
        <f t="shared" si="1"/>
        <v>80564</v>
      </c>
      <c r="F24" s="9">
        <f t="shared" si="7"/>
        <v>-81352.291690540151</v>
      </c>
      <c r="G24" s="9">
        <f>'2011 analysis-6%'!G24</f>
        <v>-176.8</v>
      </c>
      <c r="H24" s="9">
        <f>'2011 analysis-6%'!H24</f>
        <v>-6467.2</v>
      </c>
      <c r="I24" s="9">
        <f t="shared" si="8"/>
        <v>2034397.7479653545</v>
      </c>
      <c r="J24" s="9">
        <f t="shared" si="3"/>
        <v>-813.75909918614184</v>
      </c>
      <c r="K24" s="9">
        <f t="shared" si="9"/>
        <v>40282</v>
      </c>
      <c r="L24" s="38">
        <f t="shared" si="5"/>
        <v>121634.29169054015</v>
      </c>
      <c r="M24" s="9"/>
      <c r="N24" s="9"/>
      <c r="O24" s="9"/>
      <c r="P24" s="10"/>
      <c r="R24" s="11"/>
      <c r="S24" s="12"/>
    </row>
    <row r="25" spans="1:19">
      <c r="A25" s="2" t="s">
        <v>15</v>
      </c>
      <c r="B25" s="5" t="s">
        <v>37</v>
      </c>
      <c r="C25" s="16">
        <f t="shared" si="6"/>
        <v>2073865.9888661683</v>
      </c>
      <c r="D25" s="9">
        <f t="shared" si="0"/>
        <v>124431.95933197009</v>
      </c>
      <c r="E25" s="9">
        <f t="shared" si="1"/>
        <v>80564</v>
      </c>
      <c r="F25" s="9">
        <f t="shared" si="7"/>
        <v>-84476.129115072414</v>
      </c>
      <c r="G25" s="9">
        <f>'2011 analysis-6%'!G25</f>
        <v>-176.8</v>
      </c>
      <c r="H25" s="9">
        <f>'2011 analysis-6%'!H25</f>
        <v>-6467.2</v>
      </c>
      <c r="I25" s="9">
        <f t="shared" si="8"/>
        <v>2107177.8190830662</v>
      </c>
      <c r="J25" s="9">
        <f t="shared" si="3"/>
        <v>-842.87112763322648</v>
      </c>
      <c r="K25" s="9">
        <f t="shared" si="9"/>
        <v>40282</v>
      </c>
      <c r="L25" s="38">
        <f t="shared" si="5"/>
        <v>124758.12911507241</v>
      </c>
      <c r="M25" s="9"/>
      <c r="N25" s="9"/>
      <c r="O25" s="9"/>
      <c r="P25" s="10"/>
      <c r="R25" s="11"/>
      <c r="S25" s="12"/>
    </row>
    <row r="26" spans="1:19">
      <c r="A26" s="2" t="s">
        <v>16</v>
      </c>
      <c r="B26" s="5" t="s">
        <v>38</v>
      </c>
      <c r="C26" s="16">
        <f t="shared" si="6"/>
        <v>2146616.9479554328</v>
      </c>
      <c r="D26" s="9">
        <f t="shared" si="0"/>
        <v>128797.01687732596</v>
      </c>
      <c r="E26" s="9">
        <f t="shared" si="1"/>
        <v>80564</v>
      </c>
      <c r="F26" s="9">
        <f t="shared" si="7"/>
        <v>-87649.871806384443</v>
      </c>
      <c r="G26" s="9">
        <f>'2011 analysis-6%'!G26</f>
        <v>-176.8</v>
      </c>
      <c r="H26" s="9">
        <f>'2011 analysis-6%'!H26</f>
        <v>-6467.2</v>
      </c>
      <c r="I26" s="9">
        <f t="shared" si="8"/>
        <v>2181120.0930263745</v>
      </c>
      <c r="J26" s="9">
        <f t="shared" si="3"/>
        <v>-872.44803721054984</v>
      </c>
      <c r="K26" s="9">
        <f t="shared" si="9"/>
        <v>40282</v>
      </c>
      <c r="L26" s="38">
        <f t="shared" si="5"/>
        <v>127931.87180638444</v>
      </c>
      <c r="M26" s="9"/>
      <c r="N26" s="9"/>
      <c r="O26" s="9"/>
      <c r="P26" s="10"/>
      <c r="R26" s="11"/>
      <c r="S26" s="12"/>
    </row>
    <row r="27" spans="1:19">
      <c r="A27" s="2" t="s">
        <v>17</v>
      </c>
      <c r="B27" s="5" t="s">
        <v>39</v>
      </c>
      <c r="C27" s="16">
        <f t="shared" si="6"/>
        <v>2220529.6449891641</v>
      </c>
      <c r="D27" s="9">
        <f t="shared" si="0"/>
        <v>133231.77869934984</v>
      </c>
      <c r="E27" s="9">
        <f t="shared" si="1"/>
        <v>80564</v>
      </c>
      <c r="F27" s="9">
        <f t="shared" si="7"/>
        <v>-90874.303450932086</v>
      </c>
      <c r="G27" s="9">
        <f>'2011 analysis-6%'!G27</f>
        <v>-176.8</v>
      </c>
      <c r="H27" s="9">
        <f>'2011 analysis-6%'!H27</f>
        <v>-6467.2</v>
      </c>
      <c r="I27" s="9">
        <f t="shared" si="8"/>
        <v>2256243.1202375819</v>
      </c>
      <c r="J27" s="9">
        <f t="shared" si="3"/>
        <v>-902.49724809503277</v>
      </c>
      <c r="K27" s="9">
        <f t="shared" si="9"/>
        <v>40282</v>
      </c>
      <c r="L27" s="38">
        <f t="shared" si="5"/>
        <v>131156.30345093209</v>
      </c>
      <c r="M27" s="9"/>
      <c r="N27" s="9"/>
      <c r="O27" s="9"/>
      <c r="P27" s="10"/>
      <c r="R27" s="11"/>
      <c r="S27" s="12"/>
    </row>
    <row r="28" spans="1:19">
      <c r="A28" s="2" t="s">
        <v>18</v>
      </c>
      <c r="B28" s="5" t="s">
        <v>62</v>
      </c>
      <c r="C28" s="16">
        <f t="shared" si="6"/>
        <v>2295622.6229894869</v>
      </c>
      <c r="D28" s="9">
        <f t="shared" si="0"/>
        <v>137737.3573793692</v>
      </c>
      <c r="E28" s="9">
        <f t="shared" si="1"/>
        <v>80564</v>
      </c>
      <c r="F28" s="9">
        <f t="shared" si="7"/>
        <v>-94150.227716484194</v>
      </c>
      <c r="G28" s="9">
        <f>'2011 analysis-6%'!G28</f>
        <v>-176.8</v>
      </c>
      <c r="H28" s="9">
        <f>'2011 analysis-6%'!H28</f>
        <v>-6467.2</v>
      </c>
      <c r="I28" s="9">
        <f t="shared" si="8"/>
        <v>2332565.7526523718</v>
      </c>
      <c r="J28" s="9">
        <f t="shared" si="3"/>
        <v>-933.02630106094875</v>
      </c>
      <c r="K28" s="9">
        <f t="shared" si="9"/>
        <v>40282</v>
      </c>
      <c r="L28" s="38">
        <f t="shared" si="5"/>
        <v>134432.22771648419</v>
      </c>
      <c r="M28" s="9"/>
      <c r="N28" s="9"/>
      <c r="O28" s="9"/>
      <c r="P28" s="10"/>
      <c r="R28" s="11"/>
      <c r="S28" s="12"/>
    </row>
    <row r="29" spans="1:19">
      <c r="A29" s="2" t="s">
        <v>19</v>
      </c>
      <c r="B29" s="5" t="s">
        <v>63</v>
      </c>
      <c r="C29" s="41">
        <f t="shared" si="6"/>
        <v>2371914.726351311</v>
      </c>
      <c r="D29" s="42">
        <f t="shared" si="0"/>
        <v>142314.88358107864</v>
      </c>
      <c r="E29" s="42">
        <f t="shared" si="1"/>
        <v>80564</v>
      </c>
      <c r="F29" s="42">
        <f t="shared" si="7"/>
        <v>-97478.464796682732</v>
      </c>
      <c r="G29" s="42">
        <f>'2011 analysis-6%'!G29</f>
        <v>-176.8</v>
      </c>
      <c r="H29" s="42">
        <f>'2011 analysis-6%'!H29</f>
        <v>-6467.2</v>
      </c>
      <c r="I29" s="42">
        <f t="shared" si="8"/>
        <v>2410107.1451357068</v>
      </c>
      <c r="J29" s="42">
        <f t="shared" si="3"/>
        <v>-964.04285805428276</v>
      </c>
      <c r="K29" s="43">
        <f t="shared" si="9"/>
        <v>40282</v>
      </c>
      <c r="L29" s="39">
        <f t="shared" si="5"/>
        <v>137760.46479668273</v>
      </c>
      <c r="M29" s="9"/>
      <c r="N29" s="9"/>
      <c r="O29" s="9"/>
      <c r="P29" s="10"/>
      <c r="R29" s="11"/>
      <c r="S29" s="12"/>
    </row>
    <row r="30" spans="1:19">
      <c r="F30" s="1"/>
      <c r="G30" s="1"/>
      <c r="H30" s="1"/>
      <c r="J30" s="6"/>
      <c r="L30" s="36"/>
      <c r="S30" s="11"/>
    </row>
    <row r="31" spans="1:19">
      <c r="J31" s="6"/>
    </row>
    <row r="32" spans="1:19">
      <c r="J32" s="6"/>
    </row>
    <row r="33" spans="1:9" ht="15.75" thickBot="1">
      <c r="A33" s="23" t="s">
        <v>42</v>
      </c>
      <c r="B33" s="24"/>
    </row>
    <row r="34" spans="1:9" ht="15.75" thickBot="1">
      <c r="A34" s="6" t="s">
        <v>65</v>
      </c>
      <c r="B34" s="6"/>
    </row>
    <row r="35" spans="1:9" ht="15.75" thickBot="1">
      <c r="A35" t="s">
        <v>54</v>
      </c>
      <c r="C35" s="25">
        <v>0.06</v>
      </c>
    </row>
    <row r="36" spans="1:9" ht="15.75" thickBot="1">
      <c r="A36" t="s">
        <v>66</v>
      </c>
      <c r="C36" s="25">
        <v>4.4999999999999998E-2</v>
      </c>
    </row>
    <row r="37" spans="1:9">
      <c r="A37" t="s">
        <v>55</v>
      </c>
    </row>
    <row r="38" spans="1:9">
      <c r="A38" t="s">
        <v>56</v>
      </c>
    </row>
    <row r="39" spans="1:9">
      <c r="A39"/>
      <c r="F39" t="s">
        <v>52</v>
      </c>
      <c r="G39" t="s">
        <v>50</v>
      </c>
      <c r="H39"/>
      <c r="I39" t="s">
        <v>51</v>
      </c>
    </row>
    <row r="40" spans="1:9">
      <c r="A40" s="44" t="s">
        <v>43</v>
      </c>
      <c r="B40" s="44"/>
      <c r="C40" s="44"/>
      <c r="D40" s="44"/>
      <c r="E40" s="44"/>
      <c r="F40" s="19">
        <v>414</v>
      </c>
      <c r="G40" s="20">
        <v>1</v>
      </c>
      <c r="H40" s="20"/>
      <c r="I40" s="19">
        <f>+F40*G40</f>
        <v>414</v>
      </c>
    </row>
    <row r="41" spans="1:9">
      <c r="A41" s="44" t="s">
        <v>44</v>
      </c>
      <c r="B41" s="44"/>
      <c r="C41" s="44"/>
      <c r="D41" s="44"/>
      <c r="E41" s="44"/>
      <c r="F41" s="19">
        <v>37900</v>
      </c>
      <c r="G41" s="20">
        <v>1</v>
      </c>
      <c r="H41" s="20"/>
      <c r="I41" s="19">
        <f t="shared" ref="I41:I44" si="10">+F41*G41</f>
        <v>37900</v>
      </c>
    </row>
    <row r="42" spans="1:9">
      <c r="A42" s="44" t="s">
        <v>45</v>
      </c>
      <c r="B42" s="44"/>
      <c r="C42" s="44"/>
      <c r="D42" s="44"/>
      <c r="E42" s="44"/>
      <c r="F42" s="19">
        <v>7500</v>
      </c>
      <c r="G42" s="20">
        <v>0.5</v>
      </c>
      <c r="H42" s="20"/>
      <c r="I42" s="19">
        <f t="shared" si="10"/>
        <v>3750</v>
      </c>
    </row>
    <row r="43" spans="1:9">
      <c r="A43" s="44" t="s">
        <v>47</v>
      </c>
      <c r="B43" s="44"/>
      <c r="C43" s="44"/>
      <c r="D43" s="44"/>
      <c r="E43" s="44"/>
      <c r="F43" s="19">
        <v>38500</v>
      </c>
      <c r="G43" s="20">
        <v>1</v>
      </c>
      <c r="H43" s="20"/>
      <c r="I43" s="19">
        <f t="shared" si="10"/>
        <v>38500</v>
      </c>
    </row>
    <row r="44" spans="1:9" ht="15.75" thickBot="1">
      <c r="A44" s="44" t="s">
        <v>48</v>
      </c>
      <c r="B44" s="44"/>
      <c r="C44" s="44"/>
      <c r="D44" s="44"/>
      <c r="E44" s="44"/>
      <c r="F44" s="19">
        <v>0</v>
      </c>
      <c r="G44" s="20">
        <v>0.4</v>
      </c>
      <c r="H44" s="26"/>
      <c r="I44" s="21">
        <f t="shared" si="10"/>
        <v>0</v>
      </c>
    </row>
    <row r="45" spans="1:9" ht="15.75" thickBot="1">
      <c r="A45"/>
      <c r="F45" s="19">
        <f>SUM(F40:F44)</f>
        <v>84314</v>
      </c>
      <c r="G45" s="27"/>
      <c r="H45" s="27"/>
      <c r="I45" s="22">
        <f>SUM(I40:I44)</f>
        <v>80564</v>
      </c>
    </row>
    <row r="46" spans="1:9">
      <c r="A46"/>
      <c r="G46" s="6"/>
    </row>
    <row r="47" spans="1:9">
      <c r="A47" t="s">
        <v>53</v>
      </c>
      <c r="G47" s="6"/>
    </row>
    <row r="48" spans="1:9">
      <c r="A48" t="s">
        <v>64</v>
      </c>
    </row>
    <row r="49" spans="1:1">
      <c r="A49" t="str">
        <f>'2011 analysis-6%'!A49</f>
        <v>Administrative expenses are based on DOT Fiscal note HB030-DOT-CO-2-11-11</v>
      </c>
    </row>
    <row r="50" spans="1:1">
      <c r="A50" t="str">
        <f>'2011 analysis-6%'!A50</f>
        <v>DMV expenses are based on DOA Fiscal note HB030-DOA-DMV-02-11-11</v>
      </c>
    </row>
  </sheetData>
  <mergeCells count="7">
    <mergeCell ref="A44:E44"/>
    <mergeCell ref="C6:J6"/>
    <mergeCell ref="K6:S6"/>
    <mergeCell ref="A40:E40"/>
    <mergeCell ref="A41:E41"/>
    <mergeCell ref="A42:E42"/>
    <mergeCell ref="A43:E43"/>
  </mergeCells>
  <pageMargins left="0.7" right="0.7" top="0.75" bottom="0.75" header="0.3" footer="0.3"/>
  <pageSetup scale="57" fitToHeight="0" orientation="landscape" r:id="rId1"/>
  <headerFooter>
    <oddHeader>&amp;C&amp;"-,Bold"&amp;18ATIF Payout Rate 4.5%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0"/>
  <sheetViews>
    <sheetView view="pageLayout" zoomScaleNormal="100" workbookViewId="0">
      <selection activeCell="B5" sqref="B5"/>
    </sheetView>
  </sheetViews>
  <sheetFormatPr defaultRowHeight="15"/>
  <cols>
    <col min="1" max="1" width="8.28515625" style="2" customWidth="1"/>
    <col min="2" max="2" width="19" style="2" customWidth="1"/>
    <col min="3" max="3" width="12" style="2" customWidth="1"/>
    <col min="4" max="4" width="9" style="2" customWidth="1"/>
    <col min="5" max="5" width="10.5703125" style="2" customWidth="1"/>
    <col min="6" max="6" width="15.42578125" style="2" customWidth="1"/>
    <col min="7" max="8" width="11.42578125" style="2" customWidth="1"/>
    <col min="9" max="9" width="11" style="2" customWidth="1"/>
    <col min="10" max="10" width="9" style="2" customWidth="1"/>
    <col min="11" max="11" width="12" style="6" bestFit="1" customWidth="1"/>
    <col min="12" max="12" width="14.28515625" style="34" customWidth="1"/>
    <col min="13" max="13" width="10.5703125" style="6" bestFit="1" customWidth="1"/>
    <col min="14" max="14" width="9.7109375" style="6" bestFit="1" customWidth="1"/>
    <col min="15" max="15" width="10.5703125" style="6" bestFit="1" customWidth="1"/>
    <col min="16" max="16" width="8.28515625" style="6" customWidth="1"/>
    <col min="17" max="17" width="3.7109375" style="6" customWidth="1"/>
    <col min="18" max="18" width="9.28515625" style="6" customWidth="1"/>
    <col min="19" max="19" width="12.140625" style="6" bestFit="1" customWidth="1"/>
    <col min="20" max="20" width="9.140625" style="6"/>
    <col min="21" max="16384" width="9.140625" style="2"/>
  </cols>
  <sheetData>
    <row r="1" spans="1:19">
      <c r="A1" t="s">
        <v>69</v>
      </c>
    </row>
    <row r="2" spans="1:19">
      <c r="A2" s="29" t="s">
        <v>58</v>
      </c>
      <c r="B2" s="30">
        <f ca="1">TODAY()</f>
        <v>40595</v>
      </c>
    </row>
    <row r="6" spans="1:19">
      <c r="C6" s="46" t="s">
        <v>41</v>
      </c>
      <c r="D6" s="47"/>
      <c r="E6" s="47"/>
      <c r="F6" s="47"/>
      <c r="G6" s="47"/>
      <c r="H6" s="47"/>
      <c r="I6" s="47"/>
      <c r="J6" s="47"/>
      <c r="K6" s="45"/>
      <c r="L6" s="45"/>
      <c r="M6" s="45"/>
      <c r="N6" s="45"/>
      <c r="O6" s="45"/>
      <c r="P6" s="45"/>
      <c r="Q6" s="45"/>
      <c r="R6" s="45"/>
      <c r="S6" s="45"/>
    </row>
    <row r="8" spans="1:19" ht="60">
      <c r="C8" s="17" t="s">
        <v>40</v>
      </c>
      <c r="D8" s="33" t="s">
        <v>21</v>
      </c>
      <c r="E8" s="32" t="s">
        <v>49</v>
      </c>
      <c r="F8" s="17" t="s">
        <v>68</v>
      </c>
      <c r="G8" s="17" t="s">
        <v>46</v>
      </c>
      <c r="H8" s="17" t="s">
        <v>57</v>
      </c>
      <c r="I8" s="40" t="s">
        <v>60</v>
      </c>
      <c r="J8" s="40" t="s">
        <v>61</v>
      </c>
      <c r="K8" s="17" t="s">
        <v>67</v>
      </c>
      <c r="L8" s="35" t="s">
        <v>59</v>
      </c>
      <c r="M8" s="31"/>
      <c r="N8" s="7"/>
      <c r="O8" s="31"/>
      <c r="P8" s="31"/>
      <c r="R8" s="7"/>
      <c r="S8" s="31"/>
    </row>
    <row r="9" spans="1:19">
      <c r="A9" s="2" t="s">
        <v>20</v>
      </c>
      <c r="B9" s="4">
        <v>41456</v>
      </c>
      <c r="C9" s="13"/>
      <c r="D9" s="14"/>
      <c r="E9" s="15">
        <v>1000000</v>
      </c>
      <c r="F9" s="15"/>
      <c r="G9" s="15"/>
      <c r="H9" s="15"/>
      <c r="I9" s="15">
        <f>E9</f>
        <v>1000000</v>
      </c>
      <c r="J9" s="9"/>
      <c r="L9" s="37"/>
      <c r="M9" s="9"/>
      <c r="N9" s="9"/>
      <c r="O9" s="9"/>
      <c r="P9" s="9"/>
    </row>
    <row r="10" spans="1:19">
      <c r="A10" s="2" t="s">
        <v>0</v>
      </c>
      <c r="B10" s="5" t="s">
        <v>22</v>
      </c>
      <c r="C10" s="16">
        <f>I9+0.5*E10+J9</f>
        <v>1040282</v>
      </c>
      <c r="D10" s="9">
        <f t="shared" ref="D10:D29" si="0">C10*$C$35</f>
        <v>62416.92</v>
      </c>
      <c r="E10" s="9">
        <f>+$I$45</f>
        <v>80564</v>
      </c>
      <c r="F10" s="9"/>
      <c r="G10" s="9">
        <f>'2011 analysis-6%'!G10</f>
        <v>-176.8</v>
      </c>
      <c r="H10" s="9">
        <f>'2011 analysis-6%'!H10</f>
        <v>-6467.2</v>
      </c>
      <c r="I10" s="9">
        <f>SUM(D10:H10)+I9+J9-K10</f>
        <v>1136336.92</v>
      </c>
      <c r="J10" s="9">
        <f>-I10*0.0004</f>
        <v>-454.53476799999999</v>
      </c>
      <c r="K10" s="9"/>
      <c r="L10" s="38"/>
      <c r="M10" s="9"/>
      <c r="N10" s="9"/>
      <c r="O10" s="9"/>
      <c r="P10" s="10"/>
      <c r="R10" s="11"/>
      <c r="S10" s="12"/>
    </row>
    <row r="11" spans="1:19">
      <c r="A11" s="2" t="s">
        <v>1</v>
      </c>
      <c r="B11" s="5" t="s">
        <v>23</v>
      </c>
      <c r="C11" s="16">
        <f>I10+0.5*E11+J10</f>
        <v>1176164.3852319999</v>
      </c>
      <c r="D11" s="9">
        <f t="shared" si="0"/>
        <v>70569.863113919986</v>
      </c>
      <c r="E11" s="9">
        <f t="shared" ref="E11:E29" si="1">+$I$45</f>
        <v>80564</v>
      </c>
      <c r="F11" s="9">
        <f>-C36*(I10-E10)</f>
        <v>-50149.2137</v>
      </c>
      <c r="G11" s="9">
        <f>'2011 analysis-6%'!G11</f>
        <v>-176.8</v>
      </c>
      <c r="H11" s="9">
        <f>'2011 analysis-6%'!H11</f>
        <v>-6467.2</v>
      </c>
      <c r="I11" s="9">
        <f t="shared" ref="I11:I15" si="2">SUM(D11:H11)+I10+J10-K11</f>
        <v>1189941.0346459199</v>
      </c>
      <c r="J11" s="9">
        <f t="shared" ref="J11:J29" si="3">-I11*0.0004</f>
        <v>-475.97641385836801</v>
      </c>
      <c r="K11" s="9">
        <f t="shared" ref="K11:K15" si="4">0.5*E11</f>
        <v>40282</v>
      </c>
      <c r="L11" s="38">
        <f t="shared" ref="L11:L29" si="5">+K11-F11</f>
        <v>90431.213699999993</v>
      </c>
      <c r="M11" s="9"/>
      <c r="N11" s="9"/>
      <c r="O11" s="9"/>
      <c r="P11" s="10"/>
      <c r="R11" s="11"/>
      <c r="S11" s="12"/>
    </row>
    <row r="12" spans="1:19">
      <c r="A12" s="2" t="s">
        <v>2</v>
      </c>
      <c r="B12" s="5" t="s">
        <v>24</v>
      </c>
      <c r="C12" s="16">
        <f t="shared" ref="C12:C29" si="6">I11+0.5*E12+J11</f>
        <v>1229747.0582320616</v>
      </c>
      <c r="D12" s="9">
        <f t="shared" si="0"/>
        <v>73784.823493923686</v>
      </c>
      <c r="E12" s="9">
        <f t="shared" si="1"/>
        <v>80564</v>
      </c>
      <c r="F12" s="9">
        <f>-C36*(I$10+(I11-E11))/2</f>
        <v>-53335.706422840594</v>
      </c>
      <c r="G12" s="9">
        <f>'2011 analysis-6%'!G12</f>
        <v>-176.8</v>
      </c>
      <c r="H12" s="9">
        <f>'2011 analysis-6%'!H12</f>
        <v>-6467.2</v>
      </c>
      <c r="I12" s="9">
        <f t="shared" si="2"/>
        <v>1243552.1753031446</v>
      </c>
      <c r="J12" s="9">
        <f t="shared" si="3"/>
        <v>-497.42087012125785</v>
      </c>
      <c r="K12" s="9">
        <f t="shared" si="4"/>
        <v>40282</v>
      </c>
      <c r="L12" s="38">
        <f t="shared" si="5"/>
        <v>93617.706422840594</v>
      </c>
      <c r="M12" s="9"/>
      <c r="N12" s="9"/>
      <c r="O12" s="9"/>
      <c r="P12" s="10"/>
      <c r="R12" s="11"/>
      <c r="S12" s="12"/>
    </row>
    <row r="13" spans="1:19">
      <c r="A13" s="2" t="s">
        <v>3</v>
      </c>
      <c r="B13" s="5" t="s">
        <v>25</v>
      </c>
      <c r="C13" s="16">
        <f t="shared" si="6"/>
        <v>1283336.7544330233</v>
      </c>
      <c r="D13" s="9">
        <f t="shared" si="0"/>
        <v>77000.205265981393</v>
      </c>
      <c r="E13" s="9">
        <f t="shared" si="1"/>
        <v>80564</v>
      </c>
      <c r="F13" s="9">
        <f>-C36*(I$10+I11+(I12-E12))/3</f>
        <v>-55246.713724193512</v>
      </c>
      <c r="G13" s="9">
        <f>'2011 analysis-6%'!G13</f>
        <v>-176.8</v>
      </c>
      <c r="H13" s="9">
        <f>'2011 analysis-6%'!H13</f>
        <v>-6467.2</v>
      </c>
      <c r="I13" s="9">
        <f t="shared" si="2"/>
        <v>1298446.245974811</v>
      </c>
      <c r="J13" s="9">
        <f t="shared" si="3"/>
        <v>-519.3784983899244</v>
      </c>
      <c r="K13" s="9">
        <f t="shared" si="4"/>
        <v>40282</v>
      </c>
      <c r="L13" s="38">
        <f t="shared" si="5"/>
        <v>95528.713724193512</v>
      </c>
      <c r="M13" s="9"/>
      <c r="N13" s="9"/>
      <c r="O13" s="9"/>
      <c r="P13" s="10"/>
      <c r="R13" s="11"/>
      <c r="S13" s="12"/>
    </row>
    <row r="14" spans="1:19">
      <c r="A14" s="2" t="s">
        <v>4</v>
      </c>
      <c r="B14" s="5" t="s">
        <v>26</v>
      </c>
      <c r="C14" s="16">
        <f t="shared" si="6"/>
        <v>1338208.8674764212</v>
      </c>
      <c r="D14" s="9">
        <f t="shared" si="0"/>
        <v>80292.532048585272</v>
      </c>
      <c r="E14" s="9">
        <f t="shared" si="1"/>
        <v>80564</v>
      </c>
      <c r="F14" s="9">
        <f>-C36*(I$10+I11+I12+(I13-E13))/4</f>
        <v>-56854.084464096013</v>
      </c>
      <c r="G14" s="9">
        <f>'2011 analysis-6%'!G14</f>
        <v>-176.8</v>
      </c>
      <c r="H14" s="9">
        <f>'2011 analysis-6%'!H14</f>
        <v>-6467.2</v>
      </c>
      <c r="I14" s="9">
        <f t="shared" si="2"/>
        <v>1355003.3150609105</v>
      </c>
      <c r="J14" s="9">
        <f t="shared" si="3"/>
        <v>-542.00132602436429</v>
      </c>
      <c r="K14" s="9">
        <f t="shared" si="4"/>
        <v>40282</v>
      </c>
      <c r="L14" s="38">
        <f t="shared" si="5"/>
        <v>97136.084464096013</v>
      </c>
      <c r="M14" s="9"/>
      <c r="N14" s="9"/>
      <c r="O14" s="9"/>
      <c r="P14" s="10"/>
      <c r="R14" s="11"/>
      <c r="S14" s="12"/>
    </row>
    <row r="15" spans="1:19">
      <c r="A15" s="2" t="s">
        <v>5</v>
      </c>
      <c r="B15" s="5" t="s">
        <v>27</v>
      </c>
      <c r="C15" s="16">
        <f t="shared" si="6"/>
        <v>1394743.3137348862</v>
      </c>
      <c r="D15" s="9">
        <f t="shared" si="0"/>
        <v>83684.598824093177</v>
      </c>
      <c r="E15" s="9">
        <f t="shared" si="1"/>
        <v>80564</v>
      </c>
      <c r="F15" s="9">
        <f>-$C$36*(I10+I11+I12+I13+(I14-E14))/5</f>
        <v>-58355.799064355459</v>
      </c>
      <c r="G15" s="9">
        <f>'2011 analysis-6%'!G15</f>
        <v>-176.8</v>
      </c>
      <c r="H15" s="9">
        <f>'2011 analysis-6%'!H15</f>
        <v>-6467.2</v>
      </c>
      <c r="I15" s="9">
        <f t="shared" si="2"/>
        <v>1413428.1134946239</v>
      </c>
      <c r="J15" s="9">
        <f t="shared" si="3"/>
        <v>-565.37124539784963</v>
      </c>
      <c r="K15" s="9">
        <f t="shared" si="4"/>
        <v>40282</v>
      </c>
      <c r="L15" s="38">
        <f t="shared" si="5"/>
        <v>98637.799064355466</v>
      </c>
      <c r="M15" s="9"/>
      <c r="N15" s="9"/>
      <c r="O15" s="9"/>
      <c r="P15" s="10"/>
      <c r="R15" s="11"/>
      <c r="S15" s="12"/>
    </row>
    <row r="16" spans="1:19">
      <c r="A16" s="2" t="s">
        <v>6</v>
      </c>
      <c r="B16" s="5" t="s">
        <v>28</v>
      </c>
      <c r="C16" s="16">
        <f t="shared" si="6"/>
        <v>1453144.742249226</v>
      </c>
      <c r="D16" s="9">
        <f t="shared" si="0"/>
        <v>87188.684534953558</v>
      </c>
      <c r="E16" s="9">
        <f t="shared" si="1"/>
        <v>80564</v>
      </c>
      <c r="F16" s="9">
        <f>-$C$36*(I11+I12+I13+I14+(I15-E15))/5</f>
        <v>-60988.165402554405</v>
      </c>
      <c r="G16" s="9">
        <f>'2011 analysis-6%'!G16</f>
        <v>-176.8</v>
      </c>
      <c r="H16" s="9">
        <f>'2011 analysis-6%'!H16</f>
        <v>-6467.2</v>
      </c>
      <c r="I16" s="9">
        <f>SUM(D16:H16)+I15+J15-K16</f>
        <v>1472701.2613816252</v>
      </c>
      <c r="J16" s="9">
        <f t="shared" si="3"/>
        <v>-589.08050455265015</v>
      </c>
      <c r="K16" s="9">
        <f>0.5*E16</f>
        <v>40282</v>
      </c>
      <c r="L16" s="38">
        <f t="shared" si="5"/>
        <v>101270.16540255441</v>
      </c>
      <c r="M16" s="9"/>
      <c r="N16" s="9"/>
      <c r="O16" s="9"/>
      <c r="P16" s="10"/>
      <c r="R16" s="11"/>
      <c r="S16" s="12"/>
    </row>
    <row r="17" spans="1:19">
      <c r="A17" s="2" t="s">
        <v>7</v>
      </c>
      <c r="B17" s="5" t="s">
        <v>29</v>
      </c>
      <c r="C17" s="16">
        <f t="shared" si="6"/>
        <v>1512394.1808770725</v>
      </c>
      <c r="D17" s="9">
        <f t="shared" si="0"/>
        <v>90743.650852624341</v>
      </c>
      <c r="E17" s="9">
        <f t="shared" si="1"/>
        <v>80564</v>
      </c>
      <c r="F17" s="9">
        <f t="shared" ref="F17:F29" si="7">-$C$36*(I12+I13+I14+I15+(I16-E16))/5</f>
        <v>-63674.387556543596</v>
      </c>
      <c r="G17" s="9">
        <f>'2011 analysis-6%'!G17</f>
        <v>-176.8</v>
      </c>
      <c r="H17" s="9">
        <f>'2011 analysis-6%'!H17</f>
        <v>-6467.2</v>
      </c>
      <c r="I17" s="9">
        <f t="shared" ref="I17:I29" si="8">SUM(D17:H17)+I16+J16-K17</f>
        <v>1532819.4441731533</v>
      </c>
      <c r="J17" s="9">
        <f t="shared" si="3"/>
        <v>-613.12777766926138</v>
      </c>
      <c r="K17" s="9">
        <f t="shared" ref="K17:K29" si="9">0.5*E17</f>
        <v>40282</v>
      </c>
      <c r="L17" s="38">
        <f t="shared" si="5"/>
        <v>103956.3875565436</v>
      </c>
      <c r="M17" s="9"/>
      <c r="N17" s="9"/>
      <c r="O17" s="9"/>
      <c r="P17" s="10"/>
      <c r="R17" s="11"/>
      <c r="S17" s="12"/>
    </row>
    <row r="18" spans="1:19">
      <c r="A18" s="2" t="s">
        <v>8</v>
      </c>
      <c r="B18" s="5" t="s">
        <v>30</v>
      </c>
      <c r="C18" s="16">
        <f t="shared" si="6"/>
        <v>1572488.3163954839</v>
      </c>
      <c r="D18" s="9">
        <f t="shared" si="0"/>
        <v>94349.298983729037</v>
      </c>
      <c r="E18" s="9">
        <f t="shared" si="1"/>
        <v>80564</v>
      </c>
      <c r="F18" s="9">
        <f t="shared" si="7"/>
        <v>-66422.426610808674</v>
      </c>
      <c r="G18" s="9">
        <f>'2011 analysis-6%'!G18</f>
        <v>-176.8</v>
      </c>
      <c r="H18" s="9">
        <f>'2011 analysis-6%'!H18</f>
        <v>-6467.2</v>
      </c>
      <c r="I18" s="9">
        <f t="shared" si="8"/>
        <v>1593771.1887684043</v>
      </c>
      <c r="J18" s="9">
        <f t="shared" si="3"/>
        <v>-637.50847550736171</v>
      </c>
      <c r="K18" s="9">
        <f t="shared" si="9"/>
        <v>40282</v>
      </c>
      <c r="L18" s="38">
        <f t="shared" si="5"/>
        <v>106704.42661080867</v>
      </c>
      <c r="M18" s="9"/>
      <c r="N18" s="9"/>
      <c r="O18" s="9"/>
      <c r="P18" s="10"/>
      <c r="R18" s="11"/>
      <c r="S18" s="12"/>
    </row>
    <row r="19" spans="1:19">
      <c r="A19" s="2" t="s">
        <v>9</v>
      </c>
      <c r="B19" s="5" t="s">
        <v>31</v>
      </c>
      <c r="C19" s="16">
        <f t="shared" si="6"/>
        <v>1633415.6802928969</v>
      </c>
      <c r="D19" s="9">
        <f t="shared" si="0"/>
        <v>98004.940817573806</v>
      </c>
      <c r="E19" s="9">
        <f t="shared" si="1"/>
        <v>80564</v>
      </c>
      <c r="F19" s="9">
        <f t="shared" si="7"/>
        <v>-69228.013567347807</v>
      </c>
      <c r="G19" s="9">
        <f>'2011 analysis-6%'!G19</f>
        <v>-176.8</v>
      </c>
      <c r="H19" s="9">
        <f>'2011 analysis-6%'!H19</f>
        <v>-6467.2</v>
      </c>
      <c r="I19" s="9">
        <f t="shared" si="8"/>
        <v>1655548.607543123</v>
      </c>
      <c r="J19" s="9">
        <f t="shared" si="3"/>
        <v>-662.2194430172492</v>
      </c>
      <c r="K19" s="9">
        <f t="shared" si="9"/>
        <v>40282</v>
      </c>
      <c r="L19" s="38">
        <f t="shared" si="5"/>
        <v>109510.01356734781</v>
      </c>
      <c r="M19" s="9"/>
      <c r="N19" s="9"/>
      <c r="O19" s="9"/>
      <c r="P19" s="10"/>
      <c r="R19" s="11"/>
      <c r="S19" s="12"/>
    </row>
    <row r="20" spans="1:19">
      <c r="A20" s="2" t="s">
        <v>10</v>
      </c>
      <c r="B20" s="5" t="s">
        <v>32</v>
      </c>
      <c r="C20" s="16">
        <f t="shared" si="6"/>
        <v>1695168.3881001058</v>
      </c>
      <c r="D20" s="9">
        <f t="shared" si="0"/>
        <v>101710.10328600634</v>
      </c>
      <c r="E20" s="9">
        <f t="shared" si="1"/>
        <v>80564</v>
      </c>
      <c r="F20" s="9">
        <f t="shared" si="7"/>
        <v>-72083.193845928836</v>
      </c>
      <c r="G20" s="9">
        <f>'2011 analysis-6%'!G20</f>
        <v>-176.8</v>
      </c>
      <c r="H20" s="9">
        <f>'2011 analysis-6%'!H20</f>
        <v>-6467.2</v>
      </c>
      <c r="I20" s="9">
        <f t="shared" si="8"/>
        <v>1718151.2975401834</v>
      </c>
      <c r="J20" s="9">
        <f t="shared" si="3"/>
        <v>-687.26051901607343</v>
      </c>
      <c r="K20" s="9">
        <f t="shared" si="9"/>
        <v>40282</v>
      </c>
      <c r="L20" s="38">
        <f t="shared" si="5"/>
        <v>112365.19384592884</v>
      </c>
      <c r="M20" s="9"/>
      <c r="N20" s="9"/>
      <c r="O20" s="9"/>
      <c r="P20" s="10"/>
      <c r="R20" s="11"/>
      <c r="S20" s="12"/>
    </row>
    <row r="21" spans="1:19">
      <c r="A21" s="2" t="s">
        <v>11</v>
      </c>
      <c r="B21" s="5" t="s">
        <v>33</v>
      </c>
      <c r="C21" s="16">
        <f t="shared" si="6"/>
        <v>1757746.0370211673</v>
      </c>
      <c r="D21" s="9">
        <f t="shared" si="0"/>
        <v>105464.76222127004</v>
      </c>
      <c r="E21" s="9">
        <f t="shared" si="1"/>
        <v>80564</v>
      </c>
      <c r="F21" s="9">
        <f t="shared" si="7"/>
        <v>-74978.064094361645</v>
      </c>
      <c r="G21" s="9">
        <f>'2011 analysis-6%'!G21</f>
        <v>-176.8</v>
      </c>
      <c r="H21" s="9">
        <f>'2011 analysis-6%'!H21</f>
        <v>-6467.2</v>
      </c>
      <c r="I21" s="9">
        <f t="shared" si="8"/>
        <v>1781588.7351480757</v>
      </c>
      <c r="J21" s="9">
        <f t="shared" si="3"/>
        <v>-712.63549405923038</v>
      </c>
      <c r="K21" s="9">
        <f t="shared" si="9"/>
        <v>40282</v>
      </c>
      <c r="L21" s="38">
        <f t="shared" si="5"/>
        <v>115260.06409436165</v>
      </c>
      <c r="M21" s="9"/>
      <c r="N21" s="9"/>
      <c r="O21" s="9"/>
      <c r="P21" s="10"/>
      <c r="R21" s="11"/>
      <c r="S21" s="12"/>
    </row>
    <row r="22" spans="1:19">
      <c r="A22" s="2" t="s">
        <v>12</v>
      </c>
      <c r="B22" s="5" t="s">
        <v>34</v>
      </c>
      <c r="C22" s="16">
        <f t="shared" si="6"/>
        <v>1821158.0996540166</v>
      </c>
      <c r="D22" s="9">
        <f t="shared" si="0"/>
        <v>109269.48597924098</v>
      </c>
      <c r="E22" s="9">
        <f t="shared" si="1"/>
        <v>80564</v>
      </c>
      <c r="F22" s="9">
        <f t="shared" si="7"/>
        <v>-77912.495095142935</v>
      </c>
      <c r="G22" s="9">
        <f>'2011 analysis-6%'!G22</f>
        <v>-176.8</v>
      </c>
      <c r="H22" s="9">
        <f>'2011 analysis-6%'!H22</f>
        <v>-6467.2</v>
      </c>
      <c r="I22" s="9">
        <f t="shared" si="8"/>
        <v>1845871.0905381145</v>
      </c>
      <c r="J22" s="9">
        <f t="shared" si="3"/>
        <v>-738.3484362152459</v>
      </c>
      <c r="K22" s="9">
        <f t="shared" si="9"/>
        <v>40282</v>
      </c>
      <c r="L22" s="38">
        <f t="shared" si="5"/>
        <v>118194.49509514293</v>
      </c>
      <c r="M22" s="9"/>
      <c r="N22" s="9"/>
      <c r="O22" s="9"/>
      <c r="P22" s="10"/>
      <c r="R22" s="11"/>
      <c r="S22" s="12"/>
    </row>
    <row r="23" spans="1:19">
      <c r="A23" s="2" t="s">
        <v>13</v>
      </c>
      <c r="B23" s="5" t="s">
        <v>35</v>
      </c>
      <c r="C23" s="16">
        <f t="shared" si="6"/>
        <v>1885414.7421018993</v>
      </c>
      <c r="D23" s="9">
        <f t="shared" si="0"/>
        <v>113124.88452611395</v>
      </c>
      <c r="E23" s="9">
        <f t="shared" si="1"/>
        <v>80564</v>
      </c>
      <c r="F23" s="9">
        <f t="shared" si="7"/>
        <v>-80886.485735610069</v>
      </c>
      <c r="G23" s="9">
        <f>'2011 analysis-6%'!G23</f>
        <v>-176.8</v>
      </c>
      <c r="H23" s="9">
        <f>'2011 analysis-6%'!H23</f>
        <v>-6467.2</v>
      </c>
      <c r="I23" s="9">
        <f t="shared" si="8"/>
        <v>1911009.1408924032</v>
      </c>
      <c r="J23" s="9">
        <f t="shared" si="3"/>
        <v>-764.40365635696128</v>
      </c>
      <c r="K23" s="9">
        <f t="shared" si="9"/>
        <v>40282</v>
      </c>
      <c r="L23" s="38">
        <f t="shared" si="5"/>
        <v>121168.48573561007</v>
      </c>
      <c r="M23" s="9"/>
      <c r="N23" s="9"/>
      <c r="O23" s="9"/>
      <c r="P23" s="10"/>
      <c r="R23" s="11"/>
      <c r="S23" s="12"/>
    </row>
    <row r="24" spans="1:19">
      <c r="A24" s="2" t="s">
        <v>14</v>
      </c>
      <c r="B24" s="5" t="s">
        <v>36</v>
      </c>
      <c r="C24" s="16">
        <f t="shared" si="6"/>
        <v>1950526.7372360462</v>
      </c>
      <c r="D24" s="9">
        <f t="shared" si="0"/>
        <v>117031.60423416278</v>
      </c>
      <c r="E24" s="9">
        <f t="shared" si="1"/>
        <v>80564</v>
      </c>
      <c r="F24" s="9">
        <f t="shared" si="7"/>
        <v>-83900.246280788051</v>
      </c>
      <c r="G24" s="9">
        <f>'2011 analysis-6%'!G24</f>
        <v>-176.8</v>
      </c>
      <c r="H24" s="9">
        <f>'2011 analysis-6%'!H24</f>
        <v>-6467.2</v>
      </c>
      <c r="I24" s="9">
        <f t="shared" si="8"/>
        <v>1977014.095189421</v>
      </c>
      <c r="J24" s="9">
        <f t="shared" si="3"/>
        <v>-790.80563807576846</v>
      </c>
      <c r="K24" s="9">
        <f t="shared" si="9"/>
        <v>40282</v>
      </c>
      <c r="L24" s="38">
        <f t="shared" si="5"/>
        <v>124182.24628078805</v>
      </c>
      <c r="M24" s="9"/>
      <c r="N24" s="9"/>
      <c r="O24" s="9"/>
      <c r="P24" s="10"/>
      <c r="R24" s="11"/>
      <c r="S24" s="12"/>
    </row>
    <row r="25" spans="1:19">
      <c r="A25" s="2" t="s">
        <v>15</v>
      </c>
      <c r="B25" s="5" t="s">
        <v>37</v>
      </c>
      <c r="C25" s="16">
        <f t="shared" si="6"/>
        <v>2016505.2895513452</v>
      </c>
      <c r="D25" s="9">
        <f t="shared" si="0"/>
        <v>120990.3173730807</v>
      </c>
      <c r="E25" s="9">
        <f t="shared" si="1"/>
        <v>80564</v>
      </c>
      <c r="F25" s="9">
        <f t="shared" si="7"/>
        <v>-86954.168413427877</v>
      </c>
      <c r="G25" s="9">
        <f>'2011 analysis-6%'!G25</f>
        <v>-176.8</v>
      </c>
      <c r="H25" s="9">
        <f>'2011 analysis-6%'!H25</f>
        <v>-6467.2</v>
      </c>
      <c r="I25" s="9">
        <f t="shared" si="8"/>
        <v>2043897.4385109979</v>
      </c>
      <c r="J25" s="9">
        <f t="shared" si="3"/>
        <v>-817.55897540439923</v>
      </c>
      <c r="K25" s="9">
        <f t="shared" si="9"/>
        <v>40282</v>
      </c>
      <c r="L25" s="38">
        <f t="shared" si="5"/>
        <v>127236.16841342788</v>
      </c>
      <c r="M25" s="9"/>
      <c r="N25" s="9"/>
      <c r="O25" s="9"/>
      <c r="P25" s="10"/>
      <c r="R25" s="11"/>
      <c r="S25" s="12"/>
    </row>
    <row r="26" spans="1:19">
      <c r="A26" s="2" t="s">
        <v>16</v>
      </c>
      <c r="B26" s="5" t="s">
        <v>38</v>
      </c>
      <c r="C26" s="16">
        <f t="shared" si="6"/>
        <v>2083361.8795355936</v>
      </c>
      <c r="D26" s="9">
        <f t="shared" si="0"/>
        <v>125001.71277213561</v>
      </c>
      <c r="E26" s="9">
        <f t="shared" si="1"/>
        <v>80564</v>
      </c>
      <c r="F26" s="9">
        <f t="shared" si="7"/>
        <v>-90048.756752650603</v>
      </c>
      <c r="G26" s="9">
        <f>'2011 analysis-6%'!G26</f>
        <v>-176.8</v>
      </c>
      <c r="H26" s="9">
        <f>'2011 analysis-6%'!H26</f>
        <v>-6467.2</v>
      </c>
      <c r="I26" s="9">
        <f t="shared" si="8"/>
        <v>2111670.8355550785</v>
      </c>
      <c r="J26" s="9">
        <f t="shared" si="3"/>
        <v>-844.66833422203138</v>
      </c>
      <c r="K26" s="9">
        <f t="shared" si="9"/>
        <v>40282</v>
      </c>
      <c r="L26" s="38">
        <f t="shared" si="5"/>
        <v>130330.7567526506</v>
      </c>
      <c r="M26" s="9"/>
      <c r="N26" s="9"/>
      <c r="O26" s="9"/>
      <c r="P26" s="10"/>
      <c r="R26" s="11"/>
      <c r="S26" s="12"/>
    </row>
    <row r="27" spans="1:19">
      <c r="A27" s="2" t="s">
        <v>17</v>
      </c>
      <c r="B27" s="5" t="s">
        <v>39</v>
      </c>
      <c r="C27" s="16">
        <f t="shared" si="6"/>
        <v>2151108.1672208565</v>
      </c>
      <c r="D27" s="9">
        <f t="shared" si="0"/>
        <v>129066.49003325139</v>
      </c>
      <c r="E27" s="9">
        <f t="shared" si="1"/>
        <v>80564</v>
      </c>
      <c r="F27" s="9">
        <f t="shared" si="7"/>
        <v>-93184.53670651713</v>
      </c>
      <c r="G27" s="9">
        <f>'2011 analysis-6%'!G27</f>
        <v>-176.8</v>
      </c>
      <c r="H27" s="9">
        <f>'2011 analysis-6%'!H27</f>
        <v>-6467.2</v>
      </c>
      <c r="I27" s="9">
        <f t="shared" si="8"/>
        <v>2180346.1205475908</v>
      </c>
      <c r="J27" s="9">
        <f t="shared" si="3"/>
        <v>-872.13844821903638</v>
      </c>
      <c r="K27" s="9">
        <f t="shared" si="9"/>
        <v>40282</v>
      </c>
      <c r="L27" s="38">
        <f t="shared" si="5"/>
        <v>133466.53670651713</v>
      </c>
      <c r="M27" s="9"/>
      <c r="N27" s="9"/>
      <c r="O27" s="9"/>
      <c r="P27" s="10"/>
      <c r="R27" s="11"/>
      <c r="S27" s="12"/>
    </row>
    <row r="28" spans="1:19">
      <c r="A28" s="2" t="s">
        <v>18</v>
      </c>
      <c r="B28" s="5" t="s">
        <v>62</v>
      </c>
      <c r="C28" s="16">
        <f t="shared" si="6"/>
        <v>2219755.982099372</v>
      </c>
      <c r="D28" s="9">
        <f t="shared" si="0"/>
        <v>133185.35892596233</v>
      </c>
      <c r="E28" s="9">
        <f t="shared" si="1"/>
        <v>80564</v>
      </c>
      <c r="F28" s="9">
        <f t="shared" si="7"/>
        <v>-96362.049491607177</v>
      </c>
      <c r="G28" s="9">
        <f>'2011 analysis-6%'!G28</f>
        <v>-176.8</v>
      </c>
      <c r="H28" s="9">
        <f>'2011 analysis-6%'!H28</f>
        <v>-6467.2</v>
      </c>
      <c r="I28" s="9">
        <f t="shared" si="8"/>
        <v>2249935.2915337272</v>
      </c>
      <c r="J28" s="9">
        <f t="shared" si="3"/>
        <v>-899.97411661349088</v>
      </c>
      <c r="K28" s="9">
        <f t="shared" si="9"/>
        <v>40282</v>
      </c>
      <c r="L28" s="38">
        <f t="shared" si="5"/>
        <v>136644.04949160718</v>
      </c>
      <c r="M28" s="9"/>
      <c r="N28" s="9"/>
      <c r="O28" s="9"/>
      <c r="P28" s="10"/>
      <c r="R28" s="11"/>
      <c r="S28" s="12"/>
    </row>
    <row r="29" spans="1:19">
      <c r="A29" s="2" t="s">
        <v>19</v>
      </c>
      <c r="B29" s="5" t="s">
        <v>63</v>
      </c>
      <c r="C29" s="41">
        <f t="shared" si="6"/>
        <v>2289317.3174171136</v>
      </c>
      <c r="D29" s="42">
        <f t="shared" si="0"/>
        <v>137359.03904502682</v>
      </c>
      <c r="E29" s="42">
        <f t="shared" si="1"/>
        <v>80564</v>
      </c>
      <c r="F29" s="42">
        <f t="shared" si="7"/>
        <v>-99581.84792269973</v>
      </c>
      <c r="G29" s="42">
        <f>'2011 analysis-6%'!G29</f>
        <v>-176.8</v>
      </c>
      <c r="H29" s="42">
        <f>'2011 analysis-6%'!H29</f>
        <v>-6467.2</v>
      </c>
      <c r="I29" s="42">
        <f t="shared" si="8"/>
        <v>2320450.5085394406</v>
      </c>
      <c r="J29" s="42">
        <f t="shared" si="3"/>
        <v>-928.1802034157763</v>
      </c>
      <c r="K29" s="43">
        <f t="shared" si="9"/>
        <v>40282</v>
      </c>
      <c r="L29" s="39">
        <f t="shared" si="5"/>
        <v>139863.84792269973</v>
      </c>
      <c r="M29" s="9"/>
      <c r="N29" s="9"/>
      <c r="O29" s="9"/>
      <c r="P29" s="10"/>
      <c r="R29" s="11"/>
      <c r="S29" s="12"/>
    </row>
    <row r="30" spans="1:19">
      <c r="F30" s="1"/>
      <c r="G30" s="1"/>
      <c r="H30" s="1"/>
      <c r="J30" s="6"/>
      <c r="L30" s="36"/>
      <c r="S30" s="11"/>
    </row>
    <row r="31" spans="1:19">
      <c r="J31" s="6"/>
    </row>
    <row r="32" spans="1:19">
      <c r="J32" s="6"/>
    </row>
    <row r="33" spans="1:9" ht="15.75" thickBot="1">
      <c r="A33" s="23" t="s">
        <v>42</v>
      </c>
      <c r="B33" s="24"/>
    </row>
    <row r="34" spans="1:9" ht="15.75" thickBot="1">
      <c r="A34" s="6" t="s">
        <v>65</v>
      </c>
      <c r="B34" s="6"/>
    </row>
    <row r="35" spans="1:9" ht="15.75" thickBot="1">
      <c r="A35" t="s">
        <v>54</v>
      </c>
      <c r="C35" s="25">
        <v>0.06</v>
      </c>
    </row>
    <row r="36" spans="1:9" ht="15.75" thickBot="1">
      <c r="A36" t="s">
        <v>66</v>
      </c>
      <c r="C36" s="25">
        <v>4.7500000000000001E-2</v>
      </c>
    </row>
    <row r="37" spans="1:9">
      <c r="A37" t="s">
        <v>55</v>
      </c>
    </row>
    <row r="38" spans="1:9">
      <c r="A38" t="s">
        <v>56</v>
      </c>
    </row>
    <row r="39" spans="1:9">
      <c r="A39"/>
      <c r="F39" t="s">
        <v>52</v>
      </c>
      <c r="G39" t="s">
        <v>50</v>
      </c>
      <c r="H39"/>
      <c r="I39" t="s">
        <v>51</v>
      </c>
    </row>
    <row r="40" spans="1:9">
      <c r="A40" s="44" t="s">
        <v>43</v>
      </c>
      <c r="B40" s="44"/>
      <c r="C40" s="44"/>
      <c r="D40" s="44"/>
      <c r="E40" s="44"/>
      <c r="F40" s="19">
        <v>414</v>
      </c>
      <c r="G40" s="20">
        <v>1</v>
      </c>
      <c r="H40" s="20"/>
      <c r="I40" s="19">
        <f>+F40*G40</f>
        <v>414</v>
      </c>
    </row>
    <row r="41" spans="1:9">
      <c r="A41" s="44" t="s">
        <v>44</v>
      </c>
      <c r="B41" s="44"/>
      <c r="C41" s="44"/>
      <c r="D41" s="44"/>
      <c r="E41" s="44"/>
      <c r="F41" s="19">
        <v>37900</v>
      </c>
      <c r="G41" s="20">
        <v>1</v>
      </c>
      <c r="H41" s="20"/>
      <c r="I41" s="19">
        <f t="shared" ref="I41:I44" si="10">+F41*G41</f>
        <v>37900</v>
      </c>
    </row>
    <row r="42" spans="1:9">
      <c r="A42" s="44" t="s">
        <v>45</v>
      </c>
      <c r="B42" s="44"/>
      <c r="C42" s="44"/>
      <c r="D42" s="44"/>
      <c r="E42" s="44"/>
      <c r="F42" s="19">
        <v>7500</v>
      </c>
      <c r="G42" s="20">
        <v>0.5</v>
      </c>
      <c r="H42" s="20"/>
      <c r="I42" s="19">
        <f t="shared" si="10"/>
        <v>3750</v>
      </c>
    </row>
    <row r="43" spans="1:9">
      <c r="A43" s="44" t="s">
        <v>47</v>
      </c>
      <c r="B43" s="44"/>
      <c r="C43" s="44"/>
      <c r="D43" s="44"/>
      <c r="E43" s="44"/>
      <c r="F43" s="19">
        <v>38500</v>
      </c>
      <c r="G43" s="20">
        <v>1</v>
      </c>
      <c r="H43" s="20"/>
      <c r="I43" s="19">
        <f t="shared" si="10"/>
        <v>38500</v>
      </c>
    </row>
    <row r="44" spans="1:9" ht="15.75" thickBot="1">
      <c r="A44" s="44" t="s">
        <v>48</v>
      </c>
      <c r="B44" s="44"/>
      <c r="C44" s="44"/>
      <c r="D44" s="44"/>
      <c r="E44" s="44"/>
      <c r="F44" s="19">
        <v>0</v>
      </c>
      <c r="G44" s="20">
        <v>0.4</v>
      </c>
      <c r="H44" s="26"/>
      <c r="I44" s="21">
        <f t="shared" si="10"/>
        <v>0</v>
      </c>
    </row>
    <row r="45" spans="1:9" ht="15.75" thickBot="1">
      <c r="A45"/>
      <c r="F45" s="19">
        <f>SUM(F40:F44)</f>
        <v>84314</v>
      </c>
      <c r="G45" s="27"/>
      <c r="H45" s="27"/>
      <c r="I45" s="22">
        <f>SUM(I40:I44)</f>
        <v>80564</v>
      </c>
    </row>
    <row r="46" spans="1:9">
      <c r="A46"/>
      <c r="G46" s="6"/>
    </row>
    <row r="47" spans="1:9">
      <c r="A47" t="s">
        <v>53</v>
      </c>
      <c r="G47" s="6"/>
    </row>
    <row r="48" spans="1:9">
      <c r="A48" t="s">
        <v>64</v>
      </c>
    </row>
    <row r="49" spans="1:1">
      <c r="A49" t="str">
        <f>'2011 analysis-6%'!A49</f>
        <v>Administrative expenses are based on DOT Fiscal note HB030-DOT-CO-2-11-11</v>
      </c>
    </row>
    <row r="50" spans="1:1">
      <c r="A50" t="str">
        <f>'2011 analysis-6%'!A50</f>
        <v>DMV expenses are based on DOA Fiscal note HB030-DOA-DMV-02-11-11</v>
      </c>
    </row>
  </sheetData>
  <mergeCells count="7">
    <mergeCell ref="A44:E44"/>
    <mergeCell ref="C6:J6"/>
    <mergeCell ref="K6:S6"/>
    <mergeCell ref="A40:E40"/>
    <mergeCell ref="A41:E41"/>
    <mergeCell ref="A42:E42"/>
    <mergeCell ref="A43:E43"/>
  </mergeCells>
  <printOptions horizontalCentered="1"/>
  <pageMargins left="0.7" right="0.5" top="0.75" bottom="0.75" header="0.3" footer="0.3"/>
  <pageSetup scale="60" fitToHeight="0" orientation="landscape" r:id="rId1"/>
  <headerFooter>
    <oddHeader>&amp;C&amp;"-,Bold"&amp;18ATIF Payout Rate 4.75%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0"/>
  <sheetViews>
    <sheetView view="pageLayout" zoomScaleNormal="100" workbookViewId="0">
      <selection activeCell="E8" sqref="E8"/>
    </sheetView>
  </sheetViews>
  <sheetFormatPr defaultRowHeight="15"/>
  <cols>
    <col min="1" max="1" width="8.28515625" style="2" customWidth="1"/>
    <col min="2" max="2" width="19" style="2" customWidth="1"/>
    <col min="3" max="3" width="12" style="2" customWidth="1"/>
    <col min="4" max="4" width="9" style="2" customWidth="1"/>
    <col min="5" max="5" width="10.5703125" style="2" customWidth="1"/>
    <col min="6" max="6" width="15.42578125" style="2" customWidth="1"/>
    <col min="7" max="8" width="11.42578125" style="2" customWidth="1"/>
    <col min="9" max="9" width="11" style="2" customWidth="1"/>
    <col min="10" max="10" width="9" style="2" customWidth="1"/>
    <col min="11" max="11" width="12" style="6" bestFit="1" customWidth="1"/>
    <col min="12" max="12" width="14.28515625" style="34" customWidth="1"/>
    <col min="13" max="13" width="10.5703125" style="6" bestFit="1" customWidth="1"/>
    <col min="14" max="14" width="9.7109375" style="6" bestFit="1" customWidth="1"/>
    <col min="15" max="15" width="10.5703125" style="6" bestFit="1" customWidth="1"/>
    <col min="16" max="16" width="8.28515625" style="6" customWidth="1"/>
    <col min="17" max="17" width="3.7109375" style="6" customWidth="1"/>
    <col min="18" max="18" width="9.28515625" style="6" customWidth="1"/>
    <col min="19" max="19" width="12.140625" style="6" bestFit="1" customWidth="1"/>
    <col min="20" max="20" width="9.140625" style="6"/>
    <col min="21" max="16384" width="9.140625" style="2"/>
  </cols>
  <sheetData>
    <row r="1" spans="1:19">
      <c r="A1" t="s">
        <v>69</v>
      </c>
    </row>
    <row r="2" spans="1:19">
      <c r="A2" s="29" t="s">
        <v>58</v>
      </c>
      <c r="B2" s="30">
        <f ca="1">TODAY()</f>
        <v>40595</v>
      </c>
    </row>
    <row r="6" spans="1:19">
      <c r="C6" s="46" t="s">
        <v>41</v>
      </c>
      <c r="D6" s="47"/>
      <c r="E6" s="47"/>
      <c r="F6" s="47"/>
      <c r="G6" s="47"/>
      <c r="H6" s="47"/>
      <c r="I6" s="47"/>
      <c r="J6" s="47"/>
      <c r="K6" s="45"/>
      <c r="L6" s="45"/>
      <c r="M6" s="45"/>
      <c r="N6" s="45"/>
      <c r="O6" s="45"/>
      <c r="P6" s="45"/>
      <c r="Q6" s="45"/>
      <c r="R6" s="45"/>
      <c r="S6" s="45"/>
    </row>
    <row r="8" spans="1:19" ht="60">
      <c r="C8" s="17" t="s">
        <v>40</v>
      </c>
      <c r="D8" s="33" t="s">
        <v>21</v>
      </c>
      <c r="E8" s="32" t="s">
        <v>49</v>
      </c>
      <c r="F8" s="17" t="s">
        <v>68</v>
      </c>
      <c r="G8" s="17" t="s">
        <v>46</v>
      </c>
      <c r="H8" s="17" t="s">
        <v>57</v>
      </c>
      <c r="I8" s="40" t="s">
        <v>60</v>
      </c>
      <c r="J8" s="40" t="s">
        <v>61</v>
      </c>
      <c r="K8" s="17" t="s">
        <v>67</v>
      </c>
      <c r="L8" s="35" t="s">
        <v>59</v>
      </c>
      <c r="M8" s="31"/>
      <c r="N8" s="7"/>
      <c r="O8" s="31"/>
      <c r="P8" s="31"/>
      <c r="R8" s="7"/>
      <c r="S8" s="31"/>
    </row>
    <row r="9" spans="1:19">
      <c r="A9" s="2" t="s">
        <v>20</v>
      </c>
      <c r="B9" s="4">
        <v>41456</v>
      </c>
      <c r="C9" s="13"/>
      <c r="D9" s="14"/>
      <c r="E9" s="15">
        <v>1000000</v>
      </c>
      <c r="F9" s="15"/>
      <c r="G9" s="15"/>
      <c r="H9" s="15"/>
      <c r="I9" s="15">
        <f>E9</f>
        <v>1000000</v>
      </c>
      <c r="J9" s="9"/>
      <c r="L9" s="37"/>
      <c r="M9" s="9"/>
      <c r="N9" s="9"/>
      <c r="O9" s="9"/>
      <c r="P9" s="9"/>
    </row>
    <row r="10" spans="1:19">
      <c r="A10" s="2" t="s">
        <v>0</v>
      </c>
      <c r="B10" s="5" t="s">
        <v>22</v>
      </c>
      <c r="C10" s="16">
        <f>I9+(0.5*E10)+J9</f>
        <v>1040282</v>
      </c>
      <c r="D10" s="9">
        <f t="shared" ref="D10:D29" si="0">C10*$C$35</f>
        <v>62416.92</v>
      </c>
      <c r="E10" s="9">
        <f>+$I$45</f>
        <v>80564</v>
      </c>
      <c r="F10" s="9"/>
      <c r="G10" s="9">
        <f>'2011 analysis-6%'!G10</f>
        <v>-176.8</v>
      </c>
      <c r="H10" s="9">
        <f>'2011 analysis-6%'!H10</f>
        <v>-6467.2</v>
      </c>
      <c r="I10" s="9">
        <f>SUM(D10:H10)+I9+J9-K10</f>
        <v>1136336.92</v>
      </c>
      <c r="J10" s="9">
        <f>-I10*0.0004</f>
        <v>-454.53476799999999</v>
      </c>
      <c r="K10" s="9"/>
      <c r="L10" s="38"/>
      <c r="M10" s="9"/>
      <c r="N10" s="9"/>
      <c r="O10" s="9"/>
      <c r="P10" s="10"/>
      <c r="R10" s="11"/>
      <c r="S10" s="12"/>
    </row>
    <row r="11" spans="1:19">
      <c r="A11" s="2" t="s">
        <v>1</v>
      </c>
      <c r="B11" s="5" t="s">
        <v>23</v>
      </c>
      <c r="C11" s="16">
        <f>I10+(0.5*E11)+J10</f>
        <v>1176164.3852319999</v>
      </c>
      <c r="D11" s="9">
        <f t="shared" si="0"/>
        <v>70569.863113919986</v>
      </c>
      <c r="E11" s="9">
        <f t="shared" ref="E11:E29" si="1">+$I$45</f>
        <v>80564</v>
      </c>
      <c r="F11" s="9">
        <f>-C36*(I10-E10)</f>
        <v>-52788.646000000001</v>
      </c>
      <c r="G11" s="9">
        <f>'2011 analysis-6%'!G11</f>
        <v>-176.8</v>
      </c>
      <c r="H11" s="9">
        <f>'2011 analysis-6%'!H11</f>
        <v>-6467.2</v>
      </c>
      <c r="I11" s="9">
        <f t="shared" ref="I11:I15" si="2">SUM(D11:H11)+I10+J10-K11</f>
        <v>1187301.6023459199</v>
      </c>
      <c r="J11" s="9">
        <f t="shared" ref="J11:J29" si="3">-I11*0.0004</f>
        <v>-474.92064093836802</v>
      </c>
      <c r="K11" s="9">
        <f t="shared" ref="K11:K15" si="4">0.5*E11</f>
        <v>40282</v>
      </c>
      <c r="L11" s="38">
        <f t="shared" ref="L11:L29" si="5">+K11-F11</f>
        <v>93070.646000000008</v>
      </c>
      <c r="M11" s="9"/>
      <c r="N11" s="9"/>
      <c r="O11" s="9"/>
      <c r="P11" s="10"/>
      <c r="R11" s="11"/>
      <c r="S11" s="12"/>
    </row>
    <row r="12" spans="1:19">
      <c r="A12" s="2" t="s">
        <v>2</v>
      </c>
      <c r="B12" s="5" t="s">
        <v>24</v>
      </c>
      <c r="C12" s="16">
        <f t="shared" ref="C12:C29" si="6">I11+0.5*E12+J11</f>
        <v>1227108.6817049815</v>
      </c>
      <c r="D12" s="9">
        <f t="shared" si="0"/>
        <v>73626.520902298886</v>
      </c>
      <c r="E12" s="9">
        <f t="shared" si="1"/>
        <v>80564</v>
      </c>
      <c r="F12" s="9">
        <f>-C36*(I$10+(I11-E11))/2</f>
        <v>-56076.863058648007</v>
      </c>
      <c r="G12" s="9">
        <f>'2011 analysis-6%'!G12</f>
        <v>-176.8</v>
      </c>
      <c r="H12" s="9">
        <f>'2011 analysis-6%'!H12</f>
        <v>-6467.2</v>
      </c>
      <c r="I12" s="9">
        <f t="shared" si="2"/>
        <v>1238014.3395486323</v>
      </c>
      <c r="J12" s="9">
        <f t="shared" si="3"/>
        <v>-495.20573581945291</v>
      </c>
      <c r="K12" s="9">
        <f t="shared" si="4"/>
        <v>40282</v>
      </c>
      <c r="L12" s="38">
        <f t="shared" si="5"/>
        <v>96358.863058648014</v>
      </c>
      <c r="M12" s="9"/>
      <c r="N12" s="9"/>
      <c r="O12" s="9"/>
      <c r="P12" s="10"/>
      <c r="R12" s="11"/>
      <c r="S12" s="12"/>
    </row>
    <row r="13" spans="1:19">
      <c r="A13" s="2" t="s">
        <v>3</v>
      </c>
      <c r="B13" s="5" t="s">
        <v>25</v>
      </c>
      <c r="C13" s="16">
        <f t="shared" si="6"/>
        <v>1277801.1338128129</v>
      </c>
      <c r="D13" s="9">
        <f t="shared" si="0"/>
        <v>76668.068028768772</v>
      </c>
      <c r="E13" s="9">
        <f t="shared" si="1"/>
        <v>80564</v>
      </c>
      <c r="F13" s="9">
        <f>-C36*(I$10+I11+(I12-E12))/3</f>
        <v>-58018.147698242545</v>
      </c>
      <c r="G13" s="9">
        <f>'2011 analysis-6%'!G13</f>
        <v>-176.8</v>
      </c>
      <c r="H13" s="9">
        <f>'2011 analysis-6%'!H13</f>
        <v>-6467.2</v>
      </c>
      <c r="I13" s="9">
        <f t="shared" si="2"/>
        <v>1289807.0541433392</v>
      </c>
      <c r="J13" s="9">
        <f t="shared" si="3"/>
        <v>-515.9228216573357</v>
      </c>
      <c r="K13" s="9">
        <f t="shared" si="4"/>
        <v>40282</v>
      </c>
      <c r="L13" s="38">
        <f t="shared" si="5"/>
        <v>98300.147698242537</v>
      </c>
      <c r="M13" s="9"/>
      <c r="N13" s="9"/>
      <c r="O13" s="9"/>
      <c r="P13" s="10"/>
      <c r="R13" s="11"/>
      <c r="S13" s="12"/>
    </row>
    <row r="14" spans="1:19">
      <c r="A14" s="2" t="s">
        <v>4</v>
      </c>
      <c r="B14" s="5" t="s">
        <v>26</v>
      </c>
      <c r="C14" s="16">
        <f t="shared" si="6"/>
        <v>1329573.1313216819</v>
      </c>
      <c r="D14" s="9">
        <f t="shared" si="0"/>
        <v>79774.387879300906</v>
      </c>
      <c r="E14" s="9">
        <f t="shared" si="1"/>
        <v>80564</v>
      </c>
      <c r="F14" s="9">
        <f>-C36*(I$10+I11+I12+(I13-E13))/4</f>
        <v>-59636.198950473656</v>
      </c>
      <c r="G14" s="9">
        <f>'2011 analysis-6%'!G14</f>
        <v>-176.8</v>
      </c>
      <c r="H14" s="9">
        <f>'2011 analysis-6%'!H14</f>
        <v>-6467.2</v>
      </c>
      <c r="I14" s="9">
        <f t="shared" si="2"/>
        <v>1343067.3202505091</v>
      </c>
      <c r="J14" s="9">
        <f t="shared" si="3"/>
        <v>-537.22692810020362</v>
      </c>
      <c r="K14" s="9">
        <f t="shared" si="4"/>
        <v>40282</v>
      </c>
      <c r="L14" s="38">
        <f t="shared" si="5"/>
        <v>99918.198950473656</v>
      </c>
      <c r="M14" s="9"/>
      <c r="N14" s="9"/>
      <c r="O14" s="9"/>
      <c r="P14" s="10"/>
      <c r="R14" s="11"/>
      <c r="S14" s="12"/>
    </row>
    <row r="15" spans="1:19">
      <c r="A15" s="2" t="s">
        <v>5</v>
      </c>
      <c r="B15" s="5" t="s">
        <v>27</v>
      </c>
      <c r="C15" s="16">
        <f t="shared" si="6"/>
        <v>1382812.0933224089</v>
      </c>
      <c r="D15" s="9">
        <f t="shared" si="0"/>
        <v>82968.725599344529</v>
      </c>
      <c r="E15" s="9">
        <f t="shared" si="1"/>
        <v>80564</v>
      </c>
      <c r="F15" s="9">
        <f>-$C$36*(I10+I11+I12+I13+(I14-E14))/5</f>
        <v>-61139.632362884018</v>
      </c>
      <c r="G15" s="9">
        <f>'2011 analysis-6%'!G15</f>
        <v>-176.8</v>
      </c>
      <c r="H15" s="9">
        <f>'2011 analysis-6%'!H15</f>
        <v>-6467.2</v>
      </c>
      <c r="I15" s="9">
        <f t="shared" si="2"/>
        <v>1397997.1865588694</v>
      </c>
      <c r="J15" s="9">
        <f t="shared" si="3"/>
        <v>-559.19887462354779</v>
      </c>
      <c r="K15" s="9">
        <f t="shared" si="4"/>
        <v>40282</v>
      </c>
      <c r="L15" s="38">
        <f t="shared" si="5"/>
        <v>101421.63236288402</v>
      </c>
      <c r="M15" s="9"/>
      <c r="N15" s="9"/>
      <c r="O15" s="9"/>
      <c r="P15" s="10"/>
      <c r="R15" s="11"/>
      <c r="S15" s="12"/>
    </row>
    <row r="16" spans="1:19">
      <c r="A16" s="2" t="s">
        <v>6</v>
      </c>
      <c r="B16" s="5" t="s">
        <v>28</v>
      </c>
      <c r="C16" s="16">
        <f t="shared" si="6"/>
        <v>1437719.9876842459</v>
      </c>
      <c r="D16" s="9">
        <f t="shared" si="0"/>
        <v>86263.199261054746</v>
      </c>
      <c r="E16" s="9">
        <f t="shared" si="1"/>
        <v>80564</v>
      </c>
      <c r="F16" s="9">
        <f>-$C$36*(I11+I12+I13+I14+(I15-E15))/5</f>
        <v>-63756.235028472707</v>
      </c>
      <c r="G16" s="9">
        <f>'2011 analysis-6%'!G16</f>
        <v>-176.8</v>
      </c>
      <c r="H16" s="9">
        <f>'2011 analysis-6%'!H16</f>
        <v>-6467.2</v>
      </c>
      <c r="I16" s="9">
        <f>SUM(D16:H16)+I15+J15-K16</f>
        <v>1453582.9519168281</v>
      </c>
      <c r="J16" s="9">
        <f t="shared" si="3"/>
        <v>-581.4331807667312</v>
      </c>
      <c r="K16" s="9">
        <f>0.5*E16</f>
        <v>40282</v>
      </c>
      <c r="L16" s="38">
        <f t="shared" si="5"/>
        <v>104038.2350284727</v>
      </c>
      <c r="M16" s="9"/>
      <c r="N16" s="9"/>
      <c r="O16" s="9"/>
      <c r="P16" s="10"/>
      <c r="R16" s="11"/>
      <c r="S16" s="12"/>
    </row>
    <row r="17" spans="1:19">
      <c r="A17" s="2" t="s">
        <v>7</v>
      </c>
      <c r="B17" s="5" t="s">
        <v>29</v>
      </c>
      <c r="C17" s="16">
        <f t="shared" si="6"/>
        <v>1493283.5187360614</v>
      </c>
      <c r="D17" s="9">
        <f t="shared" si="0"/>
        <v>89597.011124163677</v>
      </c>
      <c r="E17" s="9">
        <f t="shared" si="1"/>
        <v>80564</v>
      </c>
      <c r="F17" s="9">
        <f t="shared" ref="F17:F29" si="7">-$C$36*(I12+I13+I14+I15+(I16-E16))/5</f>
        <v>-66419.048524181781</v>
      </c>
      <c r="G17" s="9">
        <f>'2011 analysis-6%'!G17</f>
        <v>-176.8</v>
      </c>
      <c r="H17" s="9">
        <f>'2011 analysis-6%'!H17</f>
        <v>-6467.2</v>
      </c>
      <c r="I17" s="9">
        <f t="shared" ref="I17:I29" si="8">SUM(D17:H17)+I16+J16-K17</f>
        <v>1509817.4813360432</v>
      </c>
      <c r="J17" s="9">
        <f t="shared" si="3"/>
        <v>-603.92699253441731</v>
      </c>
      <c r="K17" s="9">
        <f t="shared" ref="K17:K29" si="9">0.5*E17</f>
        <v>40282</v>
      </c>
      <c r="L17" s="38">
        <f t="shared" si="5"/>
        <v>106701.04852418178</v>
      </c>
      <c r="M17" s="9"/>
      <c r="N17" s="9"/>
      <c r="O17" s="9"/>
      <c r="P17" s="10"/>
      <c r="R17" s="11"/>
      <c r="S17" s="12"/>
    </row>
    <row r="18" spans="1:19">
      <c r="A18" s="2" t="s">
        <v>8</v>
      </c>
      <c r="B18" s="5" t="s">
        <v>30</v>
      </c>
      <c r="C18" s="16">
        <f t="shared" si="6"/>
        <v>1549495.5543435088</v>
      </c>
      <c r="D18" s="9">
        <f t="shared" si="0"/>
        <v>92969.733260610519</v>
      </c>
      <c r="E18" s="9">
        <f t="shared" si="1"/>
        <v>80564</v>
      </c>
      <c r="F18" s="9">
        <f t="shared" si="7"/>
        <v>-69137.079942055891</v>
      </c>
      <c r="G18" s="9">
        <f>'2011 analysis-6%'!G18</f>
        <v>-176.8</v>
      </c>
      <c r="H18" s="9">
        <f>'2011 analysis-6%'!H18</f>
        <v>-6467.2</v>
      </c>
      <c r="I18" s="9">
        <f t="shared" si="8"/>
        <v>1566684.2076620634</v>
      </c>
      <c r="J18" s="9">
        <f t="shared" si="3"/>
        <v>-626.67368306482535</v>
      </c>
      <c r="K18" s="9">
        <f t="shared" si="9"/>
        <v>40282</v>
      </c>
      <c r="L18" s="38">
        <f t="shared" si="5"/>
        <v>109419.07994205589</v>
      </c>
      <c r="M18" s="9"/>
      <c r="N18" s="9"/>
      <c r="O18" s="9"/>
      <c r="P18" s="10"/>
      <c r="R18" s="11"/>
      <c r="S18" s="12"/>
    </row>
    <row r="19" spans="1:19">
      <c r="A19" s="2" t="s">
        <v>9</v>
      </c>
      <c r="B19" s="5" t="s">
        <v>31</v>
      </c>
      <c r="C19" s="16">
        <f t="shared" si="6"/>
        <v>1606339.5339789987</v>
      </c>
      <c r="D19" s="9">
        <f t="shared" si="0"/>
        <v>96380.372038739923</v>
      </c>
      <c r="E19" s="9">
        <f t="shared" si="1"/>
        <v>80564</v>
      </c>
      <c r="F19" s="9">
        <f t="shared" si="7"/>
        <v>-71905.851477243152</v>
      </c>
      <c r="G19" s="9">
        <f>'2011 analysis-6%'!G19</f>
        <v>-176.8</v>
      </c>
      <c r="H19" s="9">
        <f>'2011 analysis-6%'!H19</f>
        <v>-6467.2</v>
      </c>
      <c r="I19" s="9">
        <f t="shared" si="8"/>
        <v>1624170.0545404954</v>
      </c>
      <c r="J19" s="9">
        <f t="shared" si="3"/>
        <v>-649.66802181619823</v>
      </c>
      <c r="K19" s="9">
        <f t="shared" si="9"/>
        <v>40282</v>
      </c>
      <c r="L19" s="38">
        <f t="shared" si="5"/>
        <v>112187.85147724315</v>
      </c>
      <c r="M19" s="9"/>
      <c r="N19" s="9"/>
      <c r="O19" s="9"/>
      <c r="P19" s="10"/>
      <c r="R19" s="11"/>
      <c r="S19" s="12"/>
    </row>
    <row r="20" spans="1:19">
      <c r="A20" s="2" t="s">
        <v>10</v>
      </c>
      <c r="B20" s="5" t="s">
        <v>32</v>
      </c>
      <c r="C20" s="16">
        <f t="shared" si="6"/>
        <v>1663802.3865186791</v>
      </c>
      <c r="D20" s="9">
        <f t="shared" si="0"/>
        <v>99828.143191120747</v>
      </c>
      <c r="E20" s="9">
        <f t="shared" si="1"/>
        <v>80564</v>
      </c>
      <c r="F20" s="9">
        <f t="shared" si="7"/>
        <v>-74716.878820143</v>
      </c>
      <c r="G20" s="9">
        <f>'2011 analysis-6%'!G20</f>
        <v>-176.8</v>
      </c>
      <c r="H20" s="9">
        <f>'2011 analysis-6%'!H20</f>
        <v>-6467.2</v>
      </c>
      <c r="I20" s="9">
        <f t="shared" si="8"/>
        <v>1682269.650889657</v>
      </c>
      <c r="J20" s="9">
        <f t="shared" si="3"/>
        <v>-672.90786035586279</v>
      </c>
      <c r="K20" s="9">
        <f t="shared" si="9"/>
        <v>40282</v>
      </c>
      <c r="L20" s="38">
        <f t="shared" si="5"/>
        <v>114998.878820143</v>
      </c>
      <c r="M20" s="9"/>
      <c r="N20" s="9"/>
      <c r="O20" s="9"/>
      <c r="P20" s="10"/>
      <c r="R20" s="11"/>
      <c r="S20" s="12"/>
    </row>
    <row r="21" spans="1:19">
      <c r="A21" s="2" t="s">
        <v>11</v>
      </c>
      <c r="B21" s="5" t="s">
        <v>33</v>
      </c>
      <c r="C21" s="16">
        <f t="shared" si="6"/>
        <v>1721878.7430293011</v>
      </c>
      <c r="D21" s="9">
        <f t="shared" si="0"/>
        <v>103312.72458175806</v>
      </c>
      <c r="E21" s="9">
        <f t="shared" si="1"/>
        <v>80564</v>
      </c>
      <c r="F21" s="9">
        <f t="shared" si="7"/>
        <v>-77559.603463450883</v>
      </c>
      <c r="G21" s="9">
        <f>'2011 analysis-6%'!G21</f>
        <v>-176.8</v>
      </c>
      <c r="H21" s="9">
        <f>'2011 analysis-6%'!H21</f>
        <v>-6467.2</v>
      </c>
      <c r="I21" s="9">
        <f t="shared" si="8"/>
        <v>1740987.8641476082</v>
      </c>
      <c r="J21" s="9">
        <f t="shared" si="3"/>
        <v>-696.39514565904335</v>
      </c>
      <c r="K21" s="9">
        <f t="shared" si="9"/>
        <v>40282</v>
      </c>
      <c r="L21" s="38">
        <f t="shared" si="5"/>
        <v>117841.60346345088</v>
      </c>
      <c r="M21" s="9"/>
      <c r="N21" s="9"/>
      <c r="O21" s="9"/>
      <c r="P21" s="10"/>
      <c r="R21" s="11"/>
      <c r="S21" s="12"/>
    </row>
    <row r="22" spans="1:19">
      <c r="A22" s="2" t="s">
        <v>12</v>
      </c>
      <c r="B22" s="5" t="s">
        <v>34</v>
      </c>
      <c r="C22" s="16">
        <f t="shared" si="6"/>
        <v>1780573.4690019491</v>
      </c>
      <c r="D22" s="9">
        <f t="shared" si="0"/>
        <v>106834.40814011694</v>
      </c>
      <c r="E22" s="9">
        <f t="shared" si="1"/>
        <v>80564</v>
      </c>
      <c r="F22" s="9">
        <f t="shared" si="7"/>
        <v>-80433.652585758682</v>
      </c>
      <c r="G22" s="9">
        <f>'2011 analysis-6%'!G22</f>
        <v>-176.8</v>
      </c>
      <c r="H22" s="9">
        <f>'2011 analysis-6%'!H22</f>
        <v>-6467.2</v>
      </c>
      <c r="I22" s="9">
        <f t="shared" si="8"/>
        <v>1800330.2245563073</v>
      </c>
      <c r="J22" s="9">
        <f t="shared" si="3"/>
        <v>-720.13208982252297</v>
      </c>
      <c r="K22" s="9">
        <f t="shared" si="9"/>
        <v>40282</v>
      </c>
      <c r="L22" s="38">
        <f t="shared" si="5"/>
        <v>120715.65258575868</v>
      </c>
      <c r="M22" s="9"/>
      <c r="N22" s="9"/>
      <c r="O22" s="9"/>
      <c r="P22" s="10"/>
      <c r="R22" s="11"/>
      <c r="S22" s="12"/>
    </row>
    <row r="23" spans="1:19">
      <c r="A23" s="2" t="s">
        <v>13</v>
      </c>
      <c r="B23" s="5" t="s">
        <v>35</v>
      </c>
      <c r="C23" s="16">
        <f t="shared" si="6"/>
        <v>1839892.0924664848</v>
      </c>
      <c r="D23" s="9">
        <f t="shared" si="0"/>
        <v>110393.52554798908</v>
      </c>
      <c r="E23" s="9">
        <f t="shared" si="1"/>
        <v>80564</v>
      </c>
      <c r="F23" s="9">
        <f t="shared" si="7"/>
        <v>-83338.780017961326</v>
      </c>
      <c r="G23" s="9">
        <f>'2011 analysis-6%'!G23</f>
        <v>-176.8</v>
      </c>
      <c r="H23" s="9">
        <f>'2011 analysis-6%'!H23</f>
        <v>-6467.2</v>
      </c>
      <c r="I23" s="9">
        <f t="shared" si="8"/>
        <v>1860302.8379965124</v>
      </c>
      <c r="J23" s="9">
        <f t="shared" si="3"/>
        <v>-744.12113519860497</v>
      </c>
      <c r="K23" s="9">
        <f t="shared" si="9"/>
        <v>40282</v>
      </c>
      <c r="L23" s="38">
        <f t="shared" si="5"/>
        <v>123620.78001796133</v>
      </c>
      <c r="M23" s="9"/>
      <c r="N23" s="9"/>
      <c r="O23" s="9"/>
      <c r="P23" s="10"/>
      <c r="R23" s="11"/>
      <c r="S23" s="12"/>
    </row>
    <row r="24" spans="1:19">
      <c r="A24" s="2" t="s">
        <v>14</v>
      </c>
      <c r="B24" s="5" t="s">
        <v>36</v>
      </c>
      <c r="C24" s="16">
        <f t="shared" si="6"/>
        <v>1899840.7168613139</v>
      </c>
      <c r="D24" s="9">
        <f t="shared" si="0"/>
        <v>113990.44301167883</v>
      </c>
      <c r="E24" s="9">
        <f t="shared" si="1"/>
        <v>80564</v>
      </c>
      <c r="F24" s="9">
        <f t="shared" si="7"/>
        <v>-86274.966321305808</v>
      </c>
      <c r="G24" s="9">
        <f>'2011 analysis-6%'!G24</f>
        <v>-176.8</v>
      </c>
      <c r="H24" s="9">
        <f>'2011 analysis-6%'!H24</f>
        <v>-6467.2</v>
      </c>
      <c r="I24" s="9">
        <f t="shared" si="8"/>
        <v>1920912.1935516868</v>
      </c>
      <c r="J24" s="9">
        <f t="shared" si="3"/>
        <v>-768.36487742067482</v>
      </c>
      <c r="K24" s="9">
        <f t="shared" si="9"/>
        <v>40282</v>
      </c>
      <c r="L24" s="38">
        <f t="shared" si="5"/>
        <v>126556.96632130581</v>
      </c>
      <c r="M24" s="9"/>
      <c r="N24" s="9"/>
      <c r="O24" s="9"/>
      <c r="P24" s="10"/>
      <c r="R24" s="11"/>
      <c r="S24" s="12"/>
    </row>
    <row r="25" spans="1:19">
      <c r="A25" s="2" t="s">
        <v>15</v>
      </c>
      <c r="B25" s="5" t="s">
        <v>37</v>
      </c>
      <c r="C25" s="16">
        <f t="shared" si="6"/>
        <v>1960425.8286742661</v>
      </c>
      <c r="D25" s="9">
        <f t="shared" si="0"/>
        <v>117625.54972045597</v>
      </c>
      <c r="E25" s="9">
        <f t="shared" si="1"/>
        <v>80564</v>
      </c>
      <c r="F25" s="9">
        <f t="shared" si="7"/>
        <v>-89242.38771141773</v>
      </c>
      <c r="G25" s="9">
        <f>'2011 analysis-6%'!G25</f>
        <v>-176.8</v>
      </c>
      <c r="H25" s="9">
        <f>'2011 analysis-6%'!H25</f>
        <v>-6467.2</v>
      </c>
      <c r="I25" s="9">
        <f t="shared" si="8"/>
        <v>1982164.9906833044</v>
      </c>
      <c r="J25" s="9">
        <f t="shared" si="3"/>
        <v>-792.8659962733218</v>
      </c>
      <c r="K25" s="9">
        <f t="shared" si="9"/>
        <v>40282</v>
      </c>
      <c r="L25" s="38">
        <f t="shared" si="5"/>
        <v>129524.38771141773</v>
      </c>
      <c r="M25" s="9"/>
      <c r="N25" s="9"/>
      <c r="O25" s="9"/>
      <c r="P25" s="10"/>
      <c r="R25" s="11"/>
      <c r="S25" s="12"/>
    </row>
    <row r="26" spans="1:19">
      <c r="A26" s="2" t="s">
        <v>16</v>
      </c>
      <c r="B26" s="5" t="s">
        <v>38</v>
      </c>
      <c r="C26" s="16">
        <f t="shared" si="6"/>
        <v>2021654.1246870311</v>
      </c>
      <c r="D26" s="9">
        <f t="shared" si="0"/>
        <v>121299.24748122186</v>
      </c>
      <c r="E26" s="9">
        <f t="shared" si="1"/>
        <v>80564</v>
      </c>
      <c r="F26" s="9">
        <f t="shared" si="7"/>
        <v>-92241.341109354194</v>
      </c>
      <c r="G26" s="9">
        <f>'2011 analysis-6%'!G26</f>
        <v>-176.8</v>
      </c>
      <c r="H26" s="9">
        <f>'2011 analysis-6%'!H26</f>
        <v>-6467.2</v>
      </c>
      <c r="I26" s="9">
        <f t="shared" si="8"/>
        <v>2044068.0310588989</v>
      </c>
      <c r="J26" s="9">
        <f t="shared" si="3"/>
        <v>-817.62721242355963</v>
      </c>
      <c r="K26" s="9">
        <f t="shared" si="9"/>
        <v>40282</v>
      </c>
      <c r="L26" s="38">
        <f t="shared" si="5"/>
        <v>132523.34110935419</v>
      </c>
      <c r="M26" s="9"/>
      <c r="N26" s="9"/>
      <c r="O26" s="9"/>
      <c r="P26" s="10"/>
      <c r="R26" s="11"/>
      <c r="S26" s="12"/>
    </row>
    <row r="27" spans="1:19">
      <c r="A27" s="2" t="s">
        <v>17</v>
      </c>
      <c r="B27" s="5" t="s">
        <v>39</v>
      </c>
      <c r="C27" s="16">
        <f t="shared" si="6"/>
        <v>2083532.4038464753</v>
      </c>
      <c r="D27" s="9">
        <f t="shared" si="0"/>
        <v>125011.94423078852</v>
      </c>
      <c r="E27" s="9">
        <f t="shared" si="1"/>
        <v>80564</v>
      </c>
      <c r="F27" s="9">
        <f t="shared" si="7"/>
        <v>-95272.142778467096</v>
      </c>
      <c r="G27" s="9">
        <f>'2011 analysis-6%'!G27</f>
        <v>-176.8</v>
      </c>
      <c r="H27" s="9">
        <f>'2011 analysis-6%'!H27</f>
        <v>-6467.2</v>
      </c>
      <c r="I27" s="9">
        <f t="shared" si="8"/>
        <v>2106628.2052987968</v>
      </c>
      <c r="J27" s="9">
        <f t="shared" si="3"/>
        <v>-842.65128211951878</v>
      </c>
      <c r="K27" s="9">
        <f t="shared" si="9"/>
        <v>40282</v>
      </c>
      <c r="L27" s="38">
        <f t="shared" si="5"/>
        <v>135554.1427784671</v>
      </c>
      <c r="M27" s="9"/>
      <c r="N27" s="9"/>
      <c r="O27" s="9"/>
      <c r="P27" s="10"/>
      <c r="R27" s="11"/>
      <c r="S27" s="12"/>
    </row>
    <row r="28" spans="1:19">
      <c r="A28" s="2" t="s">
        <v>18</v>
      </c>
      <c r="B28" s="5" t="s">
        <v>62</v>
      </c>
      <c r="C28" s="16">
        <f t="shared" si="6"/>
        <v>2146067.5540166772</v>
      </c>
      <c r="D28" s="9">
        <f t="shared" si="0"/>
        <v>128764.05324100063</v>
      </c>
      <c r="E28" s="9">
        <f t="shared" si="1"/>
        <v>80564</v>
      </c>
      <c r="F28" s="9">
        <f t="shared" si="7"/>
        <v>-98335.122585891993</v>
      </c>
      <c r="G28" s="9">
        <f>'2011 analysis-6%'!G28</f>
        <v>-176.8</v>
      </c>
      <c r="H28" s="9">
        <f>'2011 analysis-6%'!H28</f>
        <v>-6467.2</v>
      </c>
      <c r="I28" s="9">
        <f t="shared" si="8"/>
        <v>2169852.484671786</v>
      </c>
      <c r="J28" s="9">
        <f t="shared" si="3"/>
        <v>-867.94099386871437</v>
      </c>
      <c r="K28" s="9">
        <f t="shared" si="9"/>
        <v>40282</v>
      </c>
      <c r="L28" s="38">
        <f t="shared" si="5"/>
        <v>138617.12258589198</v>
      </c>
      <c r="M28" s="9"/>
      <c r="N28" s="9"/>
      <c r="O28" s="9"/>
      <c r="P28" s="10"/>
      <c r="R28" s="11"/>
      <c r="S28" s="12"/>
    </row>
    <row r="29" spans="1:19">
      <c r="A29" s="2" t="s">
        <v>19</v>
      </c>
      <c r="B29" s="5" t="s">
        <v>63</v>
      </c>
      <c r="C29" s="41">
        <f t="shared" si="6"/>
        <v>2209266.5436779172</v>
      </c>
      <c r="D29" s="42">
        <f t="shared" si="0"/>
        <v>132555.99262067504</v>
      </c>
      <c r="E29" s="42">
        <f t="shared" si="1"/>
        <v>80564</v>
      </c>
      <c r="F29" s="42">
        <f t="shared" si="7"/>
        <v>-101430.61905264473</v>
      </c>
      <c r="G29" s="42">
        <f>'2011 analysis-6%'!G29</f>
        <v>-176.8</v>
      </c>
      <c r="H29" s="42">
        <f>'2011 analysis-6%'!H29</f>
        <v>-6467.2</v>
      </c>
      <c r="I29" s="42">
        <f t="shared" si="8"/>
        <v>2233747.9172459478</v>
      </c>
      <c r="J29" s="42">
        <f t="shared" si="3"/>
        <v>-893.49916689837914</v>
      </c>
      <c r="K29" s="43">
        <f t="shared" si="9"/>
        <v>40282</v>
      </c>
      <c r="L29" s="39">
        <f t="shared" si="5"/>
        <v>141712.61905264473</v>
      </c>
      <c r="M29" s="9"/>
      <c r="N29" s="9"/>
      <c r="O29" s="9"/>
      <c r="P29" s="10"/>
      <c r="R29" s="11"/>
      <c r="S29" s="12"/>
    </row>
    <row r="30" spans="1:19">
      <c r="F30" s="1"/>
      <c r="G30" s="1"/>
      <c r="H30" s="1"/>
      <c r="J30" s="6"/>
      <c r="L30" s="36"/>
      <c r="S30" s="11"/>
    </row>
    <row r="31" spans="1:19">
      <c r="J31" s="6"/>
    </row>
    <row r="32" spans="1:19">
      <c r="J32" s="6"/>
    </row>
    <row r="33" spans="1:9" ht="15.75" thickBot="1">
      <c r="A33" s="23" t="s">
        <v>42</v>
      </c>
      <c r="B33" s="24"/>
    </row>
    <row r="34" spans="1:9" ht="15.75" thickBot="1">
      <c r="A34" s="6" t="s">
        <v>65</v>
      </c>
      <c r="B34" s="6"/>
    </row>
    <row r="35" spans="1:9" ht="15.75" thickBot="1">
      <c r="A35" t="s">
        <v>54</v>
      </c>
      <c r="C35" s="25">
        <v>0.06</v>
      </c>
    </row>
    <row r="36" spans="1:9" ht="15.75" thickBot="1">
      <c r="A36" t="s">
        <v>66</v>
      </c>
      <c r="C36" s="25">
        <v>0.05</v>
      </c>
    </row>
    <row r="37" spans="1:9">
      <c r="A37" t="s">
        <v>55</v>
      </c>
    </row>
    <row r="38" spans="1:9">
      <c r="A38" t="s">
        <v>56</v>
      </c>
    </row>
    <row r="39" spans="1:9">
      <c r="A39"/>
      <c r="F39" t="s">
        <v>52</v>
      </c>
      <c r="G39" t="s">
        <v>50</v>
      </c>
      <c r="H39"/>
      <c r="I39" t="s">
        <v>51</v>
      </c>
    </row>
    <row r="40" spans="1:9">
      <c r="A40" s="44" t="s">
        <v>43</v>
      </c>
      <c r="B40" s="44"/>
      <c r="C40" s="44"/>
      <c r="D40" s="44"/>
      <c r="E40" s="44"/>
      <c r="F40" s="19">
        <v>414</v>
      </c>
      <c r="G40" s="20">
        <v>1</v>
      </c>
      <c r="H40" s="20"/>
      <c r="I40" s="19">
        <f>+F40*G40</f>
        <v>414</v>
      </c>
    </row>
    <row r="41" spans="1:9">
      <c r="A41" s="44" t="s">
        <v>44</v>
      </c>
      <c r="B41" s="44"/>
      <c r="C41" s="44"/>
      <c r="D41" s="44"/>
      <c r="E41" s="44"/>
      <c r="F41" s="19">
        <v>37900</v>
      </c>
      <c r="G41" s="20">
        <v>1</v>
      </c>
      <c r="H41" s="20"/>
      <c r="I41" s="19">
        <f t="shared" ref="I41:I44" si="10">+F41*G41</f>
        <v>37900</v>
      </c>
    </row>
    <row r="42" spans="1:9">
      <c r="A42" s="44" t="s">
        <v>45</v>
      </c>
      <c r="B42" s="44"/>
      <c r="C42" s="44"/>
      <c r="D42" s="44"/>
      <c r="E42" s="44"/>
      <c r="F42" s="19">
        <v>7500</v>
      </c>
      <c r="G42" s="20">
        <v>0.5</v>
      </c>
      <c r="H42" s="20"/>
      <c r="I42" s="19">
        <f t="shared" si="10"/>
        <v>3750</v>
      </c>
    </row>
    <row r="43" spans="1:9">
      <c r="A43" s="44" t="s">
        <v>47</v>
      </c>
      <c r="B43" s="44"/>
      <c r="C43" s="44"/>
      <c r="D43" s="44"/>
      <c r="E43" s="44"/>
      <c r="F43" s="19">
        <v>38500</v>
      </c>
      <c r="G43" s="20">
        <v>1</v>
      </c>
      <c r="H43" s="20"/>
      <c r="I43" s="19">
        <f t="shared" si="10"/>
        <v>38500</v>
      </c>
    </row>
    <row r="44" spans="1:9" ht="15.75" thickBot="1">
      <c r="A44" s="44" t="s">
        <v>48</v>
      </c>
      <c r="B44" s="44"/>
      <c r="C44" s="44"/>
      <c r="D44" s="44"/>
      <c r="E44" s="44"/>
      <c r="F44" s="19">
        <v>0</v>
      </c>
      <c r="G44" s="20">
        <v>0.4</v>
      </c>
      <c r="H44" s="26"/>
      <c r="I44" s="21">
        <f t="shared" si="10"/>
        <v>0</v>
      </c>
    </row>
    <row r="45" spans="1:9" ht="15.75" thickBot="1">
      <c r="A45"/>
      <c r="F45" s="19">
        <f>SUM(F40:F44)</f>
        <v>84314</v>
      </c>
      <c r="G45" s="27"/>
      <c r="H45" s="27"/>
      <c r="I45" s="22">
        <f>SUM(I40:I44)</f>
        <v>80564</v>
      </c>
    </row>
    <row r="46" spans="1:9">
      <c r="A46"/>
      <c r="G46" s="6"/>
    </row>
    <row r="47" spans="1:9">
      <c r="A47" t="s">
        <v>53</v>
      </c>
      <c r="G47" s="6"/>
    </row>
    <row r="48" spans="1:9">
      <c r="A48" t="s">
        <v>64</v>
      </c>
    </row>
    <row r="49" spans="1:1">
      <c r="A49" t="str">
        <f>'2011 analysis-6%'!A49</f>
        <v>Administrative expenses are based on DOT Fiscal note HB030-DOT-CO-2-11-11</v>
      </c>
    </row>
    <row r="50" spans="1:1">
      <c r="A50" t="str">
        <f>'2011 analysis-6%'!A50</f>
        <v>DMV expenses are based on DOA Fiscal note HB030-DOA-DMV-02-11-11</v>
      </c>
    </row>
  </sheetData>
  <mergeCells count="7">
    <mergeCell ref="A44:E44"/>
    <mergeCell ref="C6:J6"/>
    <mergeCell ref="K6:S6"/>
    <mergeCell ref="A40:E40"/>
    <mergeCell ref="A41:E41"/>
    <mergeCell ref="A42:E42"/>
    <mergeCell ref="A43:E43"/>
  </mergeCells>
  <pageMargins left="0.7" right="0.7" top="0.75" bottom="0.75" header="0.3" footer="0.3"/>
  <pageSetup scale="58" fitToHeight="0" orientation="landscape" r:id="rId1"/>
  <headerFooter>
    <oddHeader>&amp;C&amp;"-,Bold"&amp;18ATIF Payout Rate 5.0%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0"/>
  <sheetViews>
    <sheetView tabSelected="1" view="pageLayout" zoomScaleNormal="100" workbookViewId="0">
      <selection activeCell="C4" sqref="C4"/>
    </sheetView>
  </sheetViews>
  <sheetFormatPr defaultRowHeight="15"/>
  <cols>
    <col min="1" max="1" width="8.28515625" style="2" customWidth="1"/>
    <col min="2" max="2" width="19" style="2" customWidth="1"/>
    <col min="3" max="3" width="12" style="2" customWidth="1"/>
    <col min="4" max="4" width="9" style="2" customWidth="1"/>
    <col min="5" max="5" width="10.5703125" style="2" customWidth="1"/>
    <col min="6" max="6" width="15.42578125" style="2" customWidth="1"/>
    <col min="7" max="8" width="11.42578125" style="2" customWidth="1"/>
    <col min="9" max="9" width="11" style="2" customWidth="1"/>
    <col min="10" max="10" width="9" style="2" customWidth="1"/>
    <col min="11" max="11" width="12" style="6" bestFit="1" customWidth="1"/>
    <col min="12" max="12" width="14.28515625" style="34" customWidth="1"/>
    <col min="13" max="13" width="10.5703125" style="6" bestFit="1" customWidth="1"/>
    <col min="14" max="14" width="9.7109375" style="6" bestFit="1" customWidth="1"/>
    <col min="15" max="15" width="10.5703125" style="6" bestFit="1" customWidth="1"/>
    <col min="16" max="16" width="8.28515625" style="6" customWidth="1"/>
    <col min="17" max="17" width="3.7109375" style="6" customWidth="1"/>
    <col min="18" max="18" width="9.28515625" style="6" customWidth="1"/>
    <col min="19" max="19" width="12.140625" style="6" bestFit="1" customWidth="1"/>
    <col min="20" max="20" width="9.140625" style="6"/>
    <col min="21" max="16384" width="9.140625" style="2"/>
  </cols>
  <sheetData>
    <row r="1" spans="1:19">
      <c r="A1" t="s">
        <v>69</v>
      </c>
    </row>
    <row r="2" spans="1:19">
      <c r="A2" s="29" t="s">
        <v>58</v>
      </c>
      <c r="B2" s="30">
        <f ca="1">TODAY()</f>
        <v>40595</v>
      </c>
    </row>
    <row r="6" spans="1:19">
      <c r="C6" s="46" t="s">
        <v>41</v>
      </c>
      <c r="D6" s="47"/>
      <c r="E6" s="47"/>
      <c r="F6" s="47"/>
      <c r="G6" s="47"/>
      <c r="H6" s="47"/>
      <c r="I6" s="47"/>
      <c r="J6" s="47"/>
      <c r="K6" s="45"/>
      <c r="L6" s="45"/>
      <c r="M6" s="45"/>
      <c r="N6" s="45"/>
      <c r="O6" s="45"/>
      <c r="P6" s="45"/>
      <c r="Q6" s="45"/>
      <c r="R6" s="45"/>
      <c r="S6" s="45"/>
    </row>
    <row r="8" spans="1:19" ht="60">
      <c r="C8" s="17" t="s">
        <v>40</v>
      </c>
      <c r="D8" s="33" t="s">
        <v>21</v>
      </c>
      <c r="E8" s="32" t="s">
        <v>49</v>
      </c>
      <c r="F8" s="17" t="s">
        <v>68</v>
      </c>
      <c r="G8" s="17" t="s">
        <v>46</v>
      </c>
      <c r="H8" s="17" t="s">
        <v>57</v>
      </c>
      <c r="I8" s="40" t="s">
        <v>60</v>
      </c>
      <c r="J8" s="40" t="s">
        <v>61</v>
      </c>
      <c r="K8" s="17" t="s">
        <v>67</v>
      </c>
      <c r="L8" s="35" t="s">
        <v>59</v>
      </c>
      <c r="M8" s="31"/>
      <c r="N8" s="7"/>
      <c r="O8" s="31"/>
      <c r="P8" s="31"/>
      <c r="R8" s="7"/>
      <c r="S8" s="31"/>
    </row>
    <row r="9" spans="1:19">
      <c r="A9" s="2" t="s">
        <v>20</v>
      </c>
      <c r="B9" s="4">
        <v>41456</v>
      </c>
      <c r="C9" s="13"/>
      <c r="D9" s="14"/>
      <c r="E9" s="15">
        <v>1000000</v>
      </c>
      <c r="F9" s="15"/>
      <c r="G9" s="15"/>
      <c r="H9" s="15"/>
      <c r="I9" s="15">
        <f>E9</f>
        <v>1000000</v>
      </c>
      <c r="J9" s="9"/>
      <c r="L9" s="37"/>
      <c r="M9" s="9"/>
      <c r="N9" s="9"/>
      <c r="O9" s="9"/>
      <c r="P9" s="9"/>
    </row>
    <row r="10" spans="1:19">
      <c r="A10" s="2" t="s">
        <v>0</v>
      </c>
      <c r="B10" s="5" t="s">
        <v>22</v>
      </c>
      <c r="C10" s="16">
        <f>I9+0.5*E10+J9</f>
        <v>1040282</v>
      </c>
      <c r="D10" s="9">
        <f t="shared" ref="D10:D29" si="0">C10*$C$35</f>
        <v>62416.92</v>
      </c>
      <c r="E10" s="9">
        <f>+$I$45</f>
        <v>80564</v>
      </c>
      <c r="F10" s="9"/>
      <c r="G10" s="9">
        <f>'2011 analysis-6%'!G10</f>
        <v>-176.8</v>
      </c>
      <c r="H10" s="9">
        <f>'2011 analysis-6%'!H10</f>
        <v>-6467.2</v>
      </c>
      <c r="I10" s="9">
        <f>SUM(D10:H10)+I9+J9-K10</f>
        <v>1136336.92</v>
      </c>
      <c r="J10" s="9">
        <f>-I10*0.0004</f>
        <v>-454.53476799999999</v>
      </c>
      <c r="K10" s="9"/>
      <c r="L10" s="38"/>
      <c r="M10" s="9"/>
      <c r="N10" s="9"/>
      <c r="O10" s="9"/>
      <c r="P10" s="10"/>
      <c r="R10" s="11"/>
      <c r="S10" s="12"/>
    </row>
    <row r="11" spans="1:19">
      <c r="A11" s="2" t="s">
        <v>1</v>
      </c>
      <c r="B11" s="5" t="s">
        <v>23</v>
      </c>
      <c r="C11" s="16">
        <f>I10+0.5*E11+J10</f>
        <v>1176164.3852319999</v>
      </c>
      <c r="D11" s="9">
        <f t="shared" si="0"/>
        <v>70569.863113919986</v>
      </c>
      <c r="E11" s="9">
        <f t="shared" ref="E11:E29" si="1">+$I$45</f>
        <v>80564</v>
      </c>
      <c r="F11" s="9">
        <f>-C36*(I10-E10)</f>
        <v>-55428.078299999994</v>
      </c>
      <c r="G11" s="9">
        <f>'2011 analysis-6%'!G11</f>
        <v>-176.8</v>
      </c>
      <c r="H11" s="9">
        <f>'2011 analysis-6%'!H11</f>
        <v>-6467.2</v>
      </c>
      <c r="I11" s="9">
        <f t="shared" ref="I11:I15" si="2">SUM(D11:H11)+I10+J10-K11</f>
        <v>1184662.1700459199</v>
      </c>
      <c r="J11" s="9">
        <f t="shared" ref="J11:J29" si="3">-I11*0.0004</f>
        <v>-473.86486801836799</v>
      </c>
      <c r="K11" s="9">
        <f t="shared" ref="K11:K15" si="4">0.5*E11</f>
        <v>40282</v>
      </c>
      <c r="L11" s="38">
        <f t="shared" ref="L11:L29" si="5">+K11-F11</f>
        <v>95710.078299999994</v>
      </c>
      <c r="M11" s="9"/>
      <c r="N11" s="9"/>
      <c r="O11" s="9"/>
      <c r="P11" s="10"/>
      <c r="R11" s="11"/>
      <c r="S11" s="12"/>
    </row>
    <row r="12" spans="1:19">
      <c r="A12" s="2" t="s">
        <v>2</v>
      </c>
      <c r="B12" s="5" t="s">
        <v>24</v>
      </c>
      <c r="C12" s="16">
        <f t="shared" ref="C12:C29" si="6">I11+0.5*E12+J11</f>
        <v>1224470.3051779016</v>
      </c>
      <c r="D12" s="9">
        <f t="shared" si="0"/>
        <v>73468.218310674099</v>
      </c>
      <c r="E12" s="9">
        <f t="shared" si="1"/>
        <v>80564</v>
      </c>
      <c r="F12" s="9">
        <f>-C36*(I$10+(I11-E11))/2</f>
        <v>-58811.421113705386</v>
      </c>
      <c r="G12" s="9">
        <f>'2011 analysis-6%'!G12</f>
        <v>-176.8</v>
      </c>
      <c r="H12" s="9">
        <f>'2011 analysis-6%'!H12</f>
        <v>-6467.2</v>
      </c>
      <c r="I12" s="9">
        <f t="shared" si="2"/>
        <v>1232483.1023748703</v>
      </c>
      <c r="J12" s="9">
        <f t="shared" si="3"/>
        <v>-492.99324094994813</v>
      </c>
      <c r="K12" s="9">
        <f t="shared" si="4"/>
        <v>40282</v>
      </c>
      <c r="L12" s="38">
        <f t="shared" si="5"/>
        <v>99093.421113705379</v>
      </c>
      <c r="M12" s="9"/>
      <c r="N12" s="9"/>
      <c r="O12" s="9"/>
      <c r="P12" s="10"/>
      <c r="R12" s="11"/>
      <c r="S12" s="12"/>
    </row>
    <row r="13" spans="1:19">
      <c r="A13" s="2" t="s">
        <v>3</v>
      </c>
      <c r="B13" s="5" t="s">
        <v>25</v>
      </c>
      <c r="C13" s="16">
        <f t="shared" si="6"/>
        <v>1272272.1091339204</v>
      </c>
      <c r="D13" s="9">
        <f t="shared" si="0"/>
        <v>76336.326548035227</v>
      </c>
      <c r="E13" s="9">
        <f t="shared" si="1"/>
        <v>80564</v>
      </c>
      <c r="F13" s="9">
        <f>-C36*(I$10+I11+(I12-E12))/3</f>
        <v>-60776.068367363827</v>
      </c>
      <c r="G13" s="9">
        <f>'2011 analysis-6%'!G13</f>
        <v>-176.8</v>
      </c>
      <c r="H13" s="9">
        <f>'2011 analysis-6%'!H13</f>
        <v>-6467.2</v>
      </c>
      <c r="I13" s="9">
        <f t="shared" si="2"/>
        <v>1281188.3673145918</v>
      </c>
      <c r="J13" s="9">
        <f t="shared" si="3"/>
        <v>-512.47534692583679</v>
      </c>
      <c r="K13" s="9">
        <f t="shared" si="4"/>
        <v>40282</v>
      </c>
      <c r="L13" s="38">
        <f t="shared" si="5"/>
        <v>101058.06836736383</v>
      </c>
      <c r="M13" s="9"/>
      <c r="N13" s="9"/>
      <c r="O13" s="9"/>
      <c r="P13" s="10"/>
      <c r="R13" s="11"/>
      <c r="S13" s="12"/>
    </row>
    <row r="14" spans="1:19">
      <c r="A14" s="2" t="s">
        <v>4</v>
      </c>
      <c r="B14" s="5" t="s">
        <v>26</v>
      </c>
      <c r="C14" s="16">
        <f t="shared" si="6"/>
        <v>1320957.8919676659</v>
      </c>
      <c r="D14" s="9">
        <f t="shared" si="0"/>
        <v>79257.473518059953</v>
      </c>
      <c r="E14" s="9">
        <f t="shared" si="1"/>
        <v>80564</v>
      </c>
      <c r="F14" s="9">
        <f>-C36*(I$10+I11+I12+(I13-E13))/4</f>
        <v>-62397.648596526888</v>
      </c>
      <c r="G14" s="9">
        <f>'2011 analysis-6%'!G14</f>
        <v>-176.8</v>
      </c>
      <c r="H14" s="9">
        <f>'2011 analysis-6%'!H14</f>
        <v>-6467.2</v>
      </c>
      <c r="I14" s="9">
        <f t="shared" si="2"/>
        <v>1331173.7168891989</v>
      </c>
      <c r="J14" s="9">
        <f t="shared" si="3"/>
        <v>-532.46948675567955</v>
      </c>
      <c r="K14" s="9">
        <f t="shared" si="4"/>
        <v>40282</v>
      </c>
      <c r="L14" s="38">
        <f t="shared" si="5"/>
        <v>102679.64859652688</v>
      </c>
      <c r="M14" s="9"/>
      <c r="N14" s="9"/>
      <c r="O14" s="9"/>
      <c r="P14" s="10"/>
      <c r="R14" s="11"/>
      <c r="S14" s="12"/>
    </row>
    <row r="15" spans="1:19">
      <c r="A15" s="2" t="s">
        <v>5</v>
      </c>
      <c r="B15" s="5" t="s">
        <v>27</v>
      </c>
      <c r="C15" s="16">
        <f t="shared" si="6"/>
        <v>1370923.2474024431</v>
      </c>
      <c r="D15" s="9">
        <f t="shared" si="0"/>
        <v>82255.394844146576</v>
      </c>
      <c r="E15" s="9">
        <f t="shared" si="1"/>
        <v>80564</v>
      </c>
      <c r="F15" s="9">
        <f>-$C$36*(I10+I11+I12+I13+(I14-E14))/5</f>
        <v>-63895.442904558091</v>
      </c>
      <c r="G15" s="9">
        <f>'2011 analysis-6%'!G15</f>
        <v>-176.8</v>
      </c>
      <c r="H15" s="9">
        <f>'2011 analysis-6%'!H15</f>
        <v>-6467.2</v>
      </c>
      <c r="I15" s="9">
        <f t="shared" si="2"/>
        <v>1382639.1993420315</v>
      </c>
      <c r="J15" s="9">
        <f t="shared" si="3"/>
        <v>-553.05567973681264</v>
      </c>
      <c r="K15" s="9">
        <f t="shared" si="4"/>
        <v>40282</v>
      </c>
      <c r="L15" s="38">
        <f t="shared" si="5"/>
        <v>104177.44290455809</v>
      </c>
      <c r="M15" s="9"/>
      <c r="N15" s="9"/>
      <c r="O15" s="9"/>
      <c r="P15" s="10"/>
      <c r="R15" s="11"/>
      <c r="S15" s="12"/>
    </row>
    <row r="16" spans="1:19">
      <c r="A16" s="2" t="s">
        <v>6</v>
      </c>
      <c r="B16" s="5" t="s">
        <v>28</v>
      </c>
      <c r="C16" s="16">
        <f t="shared" si="6"/>
        <v>1422368.1436622946</v>
      </c>
      <c r="D16" s="9">
        <f t="shared" si="0"/>
        <v>85342.088619737668</v>
      </c>
      <c r="E16" s="9">
        <f t="shared" si="1"/>
        <v>80564</v>
      </c>
      <c r="F16" s="9">
        <f>-$C$36*(I11+I12+I13+I14+(I15-E15))/5</f>
        <v>-66481.616837649417</v>
      </c>
      <c r="G16" s="9">
        <f>'2011 analysis-6%'!G16</f>
        <v>-176.8</v>
      </c>
      <c r="H16" s="9">
        <f>'2011 analysis-6%'!H16</f>
        <v>-6467.2</v>
      </c>
      <c r="I16" s="9">
        <f>SUM(D16:H16)+I15+J15-K16</f>
        <v>1434584.6154443829</v>
      </c>
      <c r="J16" s="9">
        <f t="shared" si="3"/>
        <v>-573.83384617775323</v>
      </c>
      <c r="K16" s="9">
        <f>0.5*E16</f>
        <v>40282</v>
      </c>
      <c r="L16" s="38">
        <f t="shared" si="5"/>
        <v>106763.61683764942</v>
      </c>
      <c r="M16" s="9"/>
      <c r="N16" s="9"/>
      <c r="O16" s="9"/>
      <c r="P16" s="10"/>
      <c r="R16" s="11"/>
      <c r="S16" s="12"/>
    </row>
    <row r="17" spans="1:19">
      <c r="A17" s="2" t="s">
        <v>7</v>
      </c>
      <c r="B17" s="5" t="s">
        <v>29</v>
      </c>
      <c r="C17" s="16">
        <f t="shared" si="6"/>
        <v>1474292.7815982052</v>
      </c>
      <c r="D17" s="9">
        <f t="shared" si="0"/>
        <v>88457.566895892305</v>
      </c>
      <c r="E17" s="9">
        <f t="shared" si="1"/>
        <v>80564</v>
      </c>
      <c r="F17" s="9">
        <f t="shared" ref="F17:F29" si="7">-$C$36*(I12+I13+I14+I15+(I16-E16))/5</f>
        <v>-69105.802514333292</v>
      </c>
      <c r="G17" s="9">
        <f>'2011 analysis-6%'!G17</f>
        <v>-176.8</v>
      </c>
      <c r="H17" s="9">
        <f>'2011 analysis-6%'!H17</f>
        <v>-6467.2</v>
      </c>
      <c r="I17" s="9">
        <f t="shared" ref="I17:I29" si="8">SUM(D17:H17)+I16+J16-K17</f>
        <v>1487000.5459797643</v>
      </c>
      <c r="J17" s="9">
        <f t="shared" si="3"/>
        <v>-594.80021839190579</v>
      </c>
      <c r="K17" s="9">
        <f t="shared" ref="K17:K29" si="9">0.5*E17</f>
        <v>40282</v>
      </c>
      <c r="L17" s="38">
        <f t="shared" si="5"/>
        <v>109387.80251433329</v>
      </c>
      <c r="M17" s="9"/>
      <c r="N17" s="9"/>
      <c r="O17" s="9"/>
      <c r="P17" s="10"/>
      <c r="R17" s="11"/>
      <c r="S17" s="12"/>
    </row>
    <row r="18" spans="1:19">
      <c r="A18" s="2" t="s">
        <v>8</v>
      </c>
      <c r="B18" s="5" t="s">
        <v>30</v>
      </c>
      <c r="C18" s="16">
        <f t="shared" si="6"/>
        <v>1526687.7457613724</v>
      </c>
      <c r="D18" s="9">
        <f t="shared" si="0"/>
        <v>91601.264745682332</v>
      </c>
      <c r="E18" s="9">
        <f t="shared" si="1"/>
        <v>80564</v>
      </c>
      <c r="F18" s="9">
        <f t="shared" si="7"/>
        <v>-71778.235672184688</v>
      </c>
      <c r="G18" s="9">
        <f>'2011 analysis-6%'!G18</f>
        <v>-176.8</v>
      </c>
      <c r="H18" s="9">
        <f>'2011 analysis-6%'!H18</f>
        <v>-6467.2</v>
      </c>
      <c r="I18" s="9">
        <f t="shared" si="8"/>
        <v>1539866.7748348701</v>
      </c>
      <c r="J18" s="9">
        <f t="shared" si="3"/>
        <v>-615.94670993394811</v>
      </c>
      <c r="K18" s="9">
        <f t="shared" si="9"/>
        <v>40282</v>
      </c>
      <c r="L18" s="38">
        <f t="shared" si="5"/>
        <v>112060.23567218469</v>
      </c>
      <c r="M18" s="9"/>
      <c r="N18" s="9"/>
      <c r="O18" s="9"/>
      <c r="P18" s="10"/>
      <c r="R18" s="11"/>
      <c r="S18" s="12"/>
    </row>
    <row r="19" spans="1:19">
      <c r="A19" s="2" t="s">
        <v>9</v>
      </c>
      <c r="B19" s="5" t="s">
        <v>31</v>
      </c>
      <c r="C19" s="16">
        <f t="shared" si="6"/>
        <v>1579532.8281249362</v>
      </c>
      <c r="D19" s="9">
        <f t="shared" si="0"/>
        <v>94771.969687496166</v>
      </c>
      <c r="E19" s="9">
        <f t="shared" si="1"/>
        <v>80564</v>
      </c>
      <c r="F19" s="9">
        <f t="shared" si="7"/>
        <v>-74494.358951147602</v>
      </c>
      <c r="G19" s="9">
        <f>'2011 analysis-6%'!G19</f>
        <v>-176.8</v>
      </c>
      <c r="H19" s="9">
        <f>'2011 analysis-6%'!H19</f>
        <v>-6467.2</v>
      </c>
      <c r="I19" s="9">
        <f t="shared" si="8"/>
        <v>1593166.4388612849</v>
      </c>
      <c r="J19" s="9">
        <f t="shared" si="3"/>
        <v>-637.26657554451401</v>
      </c>
      <c r="K19" s="9">
        <f t="shared" si="9"/>
        <v>40282</v>
      </c>
      <c r="L19" s="38">
        <f t="shared" si="5"/>
        <v>114776.3589511476</v>
      </c>
      <c r="M19" s="9"/>
      <c r="N19" s="9"/>
      <c r="O19" s="9"/>
      <c r="P19" s="10"/>
      <c r="R19" s="11"/>
      <c r="S19" s="12"/>
    </row>
    <row r="20" spans="1:19">
      <c r="A20" s="2" t="s">
        <v>10</v>
      </c>
      <c r="B20" s="5" t="s">
        <v>32</v>
      </c>
      <c r="C20" s="16">
        <f t="shared" si="6"/>
        <v>1632811.1722857403</v>
      </c>
      <c r="D20" s="9">
        <f t="shared" si="0"/>
        <v>97968.670337144416</v>
      </c>
      <c r="E20" s="9">
        <f t="shared" si="1"/>
        <v>80564</v>
      </c>
      <c r="F20" s="9">
        <f t="shared" si="7"/>
        <v>-77245.282531854493</v>
      </c>
      <c r="G20" s="9">
        <f>'2011 analysis-6%'!G20</f>
        <v>-176.8</v>
      </c>
      <c r="H20" s="9">
        <f>'2011 analysis-6%'!H20</f>
        <v>-6467.2</v>
      </c>
      <c r="I20" s="9">
        <f t="shared" si="8"/>
        <v>1646890.5600910301</v>
      </c>
      <c r="J20" s="9">
        <f t="shared" si="3"/>
        <v>-658.75622403641205</v>
      </c>
      <c r="K20" s="9">
        <f t="shared" si="9"/>
        <v>40282</v>
      </c>
      <c r="L20" s="38">
        <f t="shared" si="5"/>
        <v>117527.28253185449</v>
      </c>
      <c r="M20" s="9"/>
      <c r="N20" s="9"/>
      <c r="O20" s="9"/>
      <c r="P20" s="10"/>
      <c r="R20" s="11"/>
      <c r="S20" s="12"/>
    </row>
    <row r="21" spans="1:19">
      <c r="A21" s="2" t="s">
        <v>11</v>
      </c>
      <c r="B21" s="5" t="s">
        <v>33</v>
      </c>
      <c r="C21" s="16">
        <f t="shared" si="6"/>
        <v>1686513.8038669936</v>
      </c>
      <c r="D21" s="9">
        <f t="shared" si="0"/>
        <v>101190.82823201962</v>
      </c>
      <c r="E21" s="9">
        <f t="shared" si="1"/>
        <v>80564</v>
      </c>
      <c r="F21" s="9">
        <f t="shared" si="7"/>
        <v>-80019.921819718991</v>
      </c>
      <c r="G21" s="9">
        <f>'2011 analysis-6%'!G21</f>
        <v>-176.8</v>
      </c>
      <c r="H21" s="9">
        <f>'2011 analysis-6%'!H21</f>
        <v>-6467.2</v>
      </c>
      <c r="I21" s="9">
        <f t="shared" si="8"/>
        <v>1701040.7102792943</v>
      </c>
      <c r="J21" s="9">
        <f t="shared" si="3"/>
        <v>-680.4162841117178</v>
      </c>
      <c r="K21" s="9">
        <f t="shared" si="9"/>
        <v>40282</v>
      </c>
      <c r="L21" s="38">
        <f t="shared" si="5"/>
        <v>120301.92181971899</v>
      </c>
      <c r="M21" s="9"/>
      <c r="N21" s="9"/>
      <c r="O21" s="9"/>
      <c r="P21" s="10"/>
      <c r="R21" s="11"/>
      <c r="S21" s="12"/>
    </row>
    <row r="22" spans="1:19">
      <c r="A22" s="2" t="s">
        <v>12</v>
      </c>
      <c r="B22" s="5" t="s">
        <v>34</v>
      </c>
      <c r="C22" s="16">
        <f t="shared" si="6"/>
        <v>1740642.2939951825</v>
      </c>
      <c r="D22" s="9">
        <f t="shared" si="0"/>
        <v>104438.53763971095</v>
      </c>
      <c r="E22" s="9">
        <f t="shared" si="1"/>
        <v>80564</v>
      </c>
      <c r="F22" s="9">
        <f t="shared" si="7"/>
        <v>-82817.710815485552</v>
      </c>
      <c r="G22" s="9">
        <f>'2011 analysis-6%'!G22</f>
        <v>-176.8</v>
      </c>
      <c r="H22" s="9">
        <f>'2011 analysis-6%'!H22</f>
        <v>-6467.2</v>
      </c>
      <c r="I22" s="9">
        <f t="shared" si="8"/>
        <v>1755619.120819408</v>
      </c>
      <c r="J22" s="9">
        <f t="shared" si="3"/>
        <v>-702.24764832776327</v>
      </c>
      <c r="K22" s="9">
        <f t="shared" si="9"/>
        <v>40282</v>
      </c>
      <c r="L22" s="38">
        <f t="shared" si="5"/>
        <v>123099.71081548555</v>
      </c>
      <c r="M22" s="9"/>
      <c r="N22" s="9"/>
      <c r="O22" s="9"/>
      <c r="P22" s="10"/>
      <c r="R22" s="11"/>
      <c r="S22" s="12"/>
    </row>
    <row r="23" spans="1:19">
      <c r="A23" s="2" t="s">
        <v>13</v>
      </c>
      <c r="B23" s="5" t="s">
        <v>35</v>
      </c>
      <c r="C23" s="16">
        <f t="shared" si="6"/>
        <v>1795198.8731710801</v>
      </c>
      <c r="D23" s="9">
        <f t="shared" si="0"/>
        <v>107711.9323902648</v>
      </c>
      <c r="E23" s="9">
        <f t="shared" si="1"/>
        <v>80564</v>
      </c>
      <c r="F23" s="9">
        <f t="shared" si="7"/>
        <v>-85638.205851301813</v>
      </c>
      <c r="G23" s="9">
        <f>'2011 analysis-6%'!G23</f>
        <v>-176.8</v>
      </c>
      <c r="H23" s="9">
        <f>'2011 analysis-6%'!H23</f>
        <v>-6467.2</v>
      </c>
      <c r="I23" s="9">
        <f t="shared" si="8"/>
        <v>1810628.5997100431</v>
      </c>
      <c r="J23" s="9">
        <f t="shared" si="3"/>
        <v>-724.25143988401726</v>
      </c>
      <c r="K23" s="9">
        <f t="shared" si="9"/>
        <v>40282</v>
      </c>
      <c r="L23" s="38">
        <f t="shared" si="5"/>
        <v>125920.20585130181</v>
      </c>
      <c r="M23" s="9"/>
      <c r="N23" s="9"/>
      <c r="O23" s="9"/>
      <c r="P23" s="10"/>
      <c r="R23" s="11"/>
      <c r="S23" s="12"/>
    </row>
    <row r="24" spans="1:19">
      <c r="A24" s="2" t="s">
        <v>14</v>
      </c>
      <c r="B24" s="5" t="s">
        <v>36</v>
      </c>
      <c r="C24" s="16">
        <f t="shared" si="6"/>
        <v>1850186.348270159</v>
      </c>
      <c r="D24" s="9">
        <f t="shared" si="0"/>
        <v>111011.18089620954</v>
      </c>
      <c r="E24" s="9">
        <f t="shared" si="1"/>
        <v>80564</v>
      </c>
      <c r="F24" s="9">
        <f t="shared" si="7"/>
        <v>-88481.205012491147</v>
      </c>
      <c r="G24" s="9">
        <f>'2011 analysis-6%'!G24</f>
        <v>-176.8</v>
      </c>
      <c r="H24" s="9">
        <f>'2011 analysis-6%'!H24</f>
        <v>-6467.2</v>
      </c>
      <c r="I24" s="9">
        <f t="shared" si="8"/>
        <v>1866072.3241538773</v>
      </c>
      <c r="J24" s="9">
        <f t="shared" si="3"/>
        <v>-746.42892966155102</v>
      </c>
      <c r="K24" s="9">
        <f t="shared" si="9"/>
        <v>40282</v>
      </c>
      <c r="L24" s="38">
        <f t="shared" si="5"/>
        <v>128763.20501249115</v>
      </c>
      <c r="M24" s="9"/>
      <c r="N24" s="9"/>
      <c r="O24" s="9"/>
      <c r="P24" s="10"/>
      <c r="R24" s="11"/>
      <c r="S24" s="12"/>
    </row>
    <row r="25" spans="1:19">
      <c r="A25" s="2" t="s">
        <v>15</v>
      </c>
      <c r="B25" s="5" t="s">
        <v>37</v>
      </c>
      <c r="C25" s="16">
        <f t="shared" si="6"/>
        <v>1905607.8952242157</v>
      </c>
      <c r="D25" s="9">
        <f t="shared" si="0"/>
        <v>114336.47371345294</v>
      </c>
      <c r="E25" s="9">
        <f t="shared" si="1"/>
        <v>80564</v>
      </c>
      <c r="F25" s="9">
        <f t="shared" si="7"/>
        <v>-91346.716808063356</v>
      </c>
      <c r="G25" s="9">
        <f>'2011 analysis-6%'!G25</f>
        <v>-176.8</v>
      </c>
      <c r="H25" s="9">
        <f>'2011 analysis-6%'!H25</f>
        <v>-6467.2</v>
      </c>
      <c r="I25" s="9">
        <f t="shared" si="8"/>
        <v>1921953.6521296052</v>
      </c>
      <c r="J25" s="9">
        <f t="shared" si="3"/>
        <v>-768.7814608518421</v>
      </c>
      <c r="K25" s="9">
        <f t="shared" si="9"/>
        <v>40282</v>
      </c>
      <c r="L25" s="38">
        <f t="shared" si="5"/>
        <v>131628.71680806336</v>
      </c>
      <c r="M25" s="9"/>
      <c r="N25" s="9"/>
      <c r="O25" s="9"/>
      <c r="P25" s="10"/>
      <c r="R25" s="11"/>
      <c r="S25" s="12"/>
    </row>
    <row r="26" spans="1:19">
      <c r="A26" s="2" t="s">
        <v>16</v>
      </c>
      <c r="B26" s="5" t="s">
        <v>38</v>
      </c>
      <c r="C26" s="16">
        <f t="shared" si="6"/>
        <v>1961466.8706687533</v>
      </c>
      <c r="D26" s="9">
        <f t="shared" si="0"/>
        <v>117688.01224012519</v>
      </c>
      <c r="E26" s="9">
        <f t="shared" si="1"/>
        <v>80564</v>
      </c>
      <c r="F26" s="9">
        <f t="shared" si="7"/>
        <v>-94234.879274468389</v>
      </c>
      <c r="G26" s="9">
        <f>'2011 analysis-6%'!G26</f>
        <v>-176.8</v>
      </c>
      <c r="H26" s="9">
        <f>'2011 analysis-6%'!H26</f>
        <v>-6467.2</v>
      </c>
      <c r="I26" s="9">
        <f t="shared" si="8"/>
        <v>1978276.00363441</v>
      </c>
      <c r="J26" s="9">
        <f t="shared" si="3"/>
        <v>-791.31040145376403</v>
      </c>
      <c r="K26" s="9">
        <f t="shared" si="9"/>
        <v>40282</v>
      </c>
      <c r="L26" s="38">
        <f t="shared" si="5"/>
        <v>134516.8792744684</v>
      </c>
      <c r="M26" s="9"/>
      <c r="N26" s="9"/>
      <c r="O26" s="9"/>
      <c r="P26" s="10"/>
      <c r="R26" s="11"/>
      <c r="S26" s="12"/>
    </row>
    <row r="27" spans="1:19">
      <c r="A27" s="2" t="s">
        <v>17</v>
      </c>
      <c r="B27" s="5" t="s">
        <v>39</v>
      </c>
      <c r="C27" s="16">
        <f t="shared" si="6"/>
        <v>2017766.6932329561</v>
      </c>
      <c r="D27" s="9">
        <f t="shared" si="0"/>
        <v>121066.00159397736</v>
      </c>
      <c r="E27" s="9">
        <f t="shared" si="1"/>
        <v>80564</v>
      </c>
      <c r="F27" s="9">
        <f t="shared" si="7"/>
        <v>-97145.849854697095</v>
      </c>
      <c r="G27" s="9">
        <f>'2011 analysis-6%'!G27</f>
        <v>-176.8</v>
      </c>
      <c r="H27" s="9">
        <f>'2011 analysis-6%'!H27</f>
        <v>-6467.2</v>
      </c>
      <c r="I27" s="9">
        <f t="shared" si="8"/>
        <v>2035042.8449722363</v>
      </c>
      <c r="J27" s="9">
        <f t="shared" si="3"/>
        <v>-814.01713798889455</v>
      </c>
      <c r="K27" s="9">
        <f t="shared" si="9"/>
        <v>40282</v>
      </c>
      <c r="L27" s="38">
        <f t="shared" si="5"/>
        <v>137427.84985469709</v>
      </c>
      <c r="M27" s="9"/>
      <c r="N27" s="9"/>
      <c r="O27" s="9"/>
      <c r="P27" s="10"/>
      <c r="R27" s="11"/>
      <c r="S27" s="12"/>
    </row>
    <row r="28" spans="1:19">
      <c r="A28" s="2" t="s">
        <v>18</v>
      </c>
      <c r="B28" s="5" t="s">
        <v>62</v>
      </c>
      <c r="C28" s="16">
        <f t="shared" si="6"/>
        <v>2074510.8278342474</v>
      </c>
      <c r="D28" s="9">
        <f t="shared" si="0"/>
        <v>124470.64967005485</v>
      </c>
      <c r="E28" s="9">
        <f t="shared" si="1"/>
        <v>80564</v>
      </c>
      <c r="F28" s="9">
        <f t="shared" si="7"/>
        <v>-100079.79895830181</v>
      </c>
      <c r="G28" s="9">
        <f>'2011 analysis-6%'!G28</f>
        <v>-176.8</v>
      </c>
      <c r="H28" s="9">
        <f>'2011 analysis-6%'!H28</f>
        <v>-6467.2</v>
      </c>
      <c r="I28" s="9">
        <f t="shared" si="8"/>
        <v>2092257.6785460003</v>
      </c>
      <c r="J28" s="9">
        <f t="shared" si="3"/>
        <v>-836.90307141840015</v>
      </c>
      <c r="K28" s="9">
        <f t="shared" si="9"/>
        <v>40282</v>
      </c>
      <c r="L28" s="38">
        <f t="shared" si="5"/>
        <v>140361.79895830181</v>
      </c>
      <c r="M28" s="9"/>
      <c r="N28" s="9"/>
      <c r="O28" s="9"/>
      <c r="P28" s="10"/>
      <c r="R28" s="11"/>
      <c r="S28" s="12"/>
    </row>
    <row r="29" spans="1:19">
      <c r="A29" s="2" t="s">
        <v>19</v>
      </c>
      <c r="B29" s="5" t="s">
        <v>63</v>
      </c>
      <c r="C29" s="41">
        <f t="shared" si="6"/>
        <v>2131702.7754745819</v>
      </c>
      <c r="D29" s="42">
        <f t="shared" si="0"/>
        <v>127902.1665284749</v>
      </c>
      <c r="E29" s="42">
        <f t="shared" si="1"/>
        <v>80564</v>
      </c>
      <c r="F29" s="42">
        <f t="shared" si="7"/>
        <v>-103036.90428607936</v>
      </c>
      <c r="G29" s="42">
        <f>'2011 analysis-6%'!G29</f>
        <v>-176.8</v>
      </c>
      <c r="H29" s="42">
        <f>'2011 analysis-6%'!H29</f>
        <v>-6467.2</v>
      </c>
      <c r="I29" s="42">
        <f t="shared" si="8"/>
        <v>2149924.0377169773</v>
      </c>
      <c r="J29" s="42">
        <f t="shared" si="3"/>
        <v>-859.96961508679101</v>
      </c>
      <c r="K29" s="43">
        <f t="shared" si="9"/>
        <v>40282</v>
      </c>
      <c r="L29" s="39">
        <f t="shared" si="5"/>
        <v>143318.90428607934</v>
      </c>
      <c r="M29" s="9"/>
      <c r="N29" s="9"/>
      <c r="O29" s="9"/>
      <c r="P29" s="10"/>
      <c r="R29" s="11"/>
      <c r="S29" s="12"/>
    </row>
    <row r="30" spans="1:19">
      <c r="F30" s="1"/>
      <c r="G30" s="1"/>
      <c r="H30" s="1"/>
      <c r="J30" s="6"/>
      <c r="L30" s="36"/>
      <c r="S30" s="11"/>
    </row>
    <row r="31" spans="1:19">
      <c r="J31" s="6"/>
    </row>
    <row r="32" spans="1:19">
      <c r="J32" s="6"/>
    </row>
    <row r="33" spans="1:9" ht="15.75" thickBot="1">
      <c r="A33" s="23" t="s">
        <v>42</v>
      </c>
      <c r="B33" s="24"/>
    </row>
    <row r="34" spans="1:9" ht="15.75" thickBot="1">
      <c r="A34" s="6" t="s">
        <v>65</v>
      </c>
      <c r="B34" s="6"/>
    </row>
    <row r="35" spans="1:9" ht="15.75" thickBot="1">
      <c r="A35" t="s">
        <v>54</v>
      </c>
      <c r="C35" s="25">
        <v>0.06</v>
      </c>
    </row>
    <row r="36" spans="1:9" ht="15.75" thickBot="1">
      <c r="A36" t="s">
        <v>66</v>
      </c>
      <c r="C36" s="25">
        <v>5.2499999999999998E-2</v>
      </c>
    </row>
    <row r="37" spans="1:9">
      <c r="A37" t="s">
        <v>55</v>
      </c>
    </row>
    <row r="38" spans="1:9">
      <c r="A38" t="s">
        <v>56</v>
      </c>
    </row>
    <row r="39" spans="1:9">
      <c r="A39"/>
      <c r="F39" t="s">
        <v>52</v>
      </c>
      <c r="G39" t="s">
        <v>50</v>
      </c>
      <c r="H39"/>
      <c r="I39" t="s">
        <v>51</v>
      </c>
    </row>
    <row r="40" spans="1:9">
      <c r="A40" s="44" t="s">
        <v>43</v>
      </c>
      <c r="B40" s="44"/>
      <c r="C40" s="44"/>
      <c r="D40" s="44"/>
      <c r="E40" s="44"/>
      <c r="F40" s="19">
        <v>414</v>
      </c>
      <c r="G40" s="20">
        <v>1</v>
      </c>
      <c r="H40" s="20"/>
      <c r="I40" s="19">
        <f>+F40*G40</f>
        <v>414</v>
      </c>
    </row>
    <row r="41" spans="1:9">
      <c r="A41" s="44" t="s">
        <v>44</v>
      </c>
      <c r="B41" s="44"/>
      <c r="C41" s="44"/>
      <c r="D41" s="44"/>
      <c r="E41" s="44"/>
      <c r="F41" s="19">
        <v>37900</v>
      </c>
      <c r="G41" s="20">
        <v>1</v>
      </c>
      <c r="H41" s="20"/>
      <c r="I41" s="19">
        <f t="shared" ref="I41:I44" si="10">+F41*G41</f>
        <v>37900</v>
      </c>
    </row>
    <row r="42" spans="1:9">
      <c r="A42" s="44" t="s">
        <v>45</v>
      </c>
      <c r="B42" s="44"/>
      <c r="C42" s="44"/>
      <c r="D42" s="44"/>
      <c r="E42" s="44"/>
      <c r="F42" s="19">
        <v>7500</v>
      </c>
      <c r="G42" s="20">
        <v>0.5</v>
      </c>
      <c r="H42" s="20"/>
      <c r="I42" s="19">
        <f t="shared" si="10"/>
        <v>3750</v>
      </c>
    </row>
    <row r="43" spans="1:9">
      <c r="A43" s="44" t="s">
        <v>47</v>
      </c>
      <c r="B43" s="44"/>
      <c r="C43" s="44"/>
      <c r="D43" s="44"/>
      <c r="E43" s="44"/>
      <c r="F43" s="19">
        <v>38500</v>
      </c>
      <c r="G43" s="20">
        <v>1</v>
      </c>
      <c r="H43" s="20"/>
      <c r="I43" s="19">
        <f t="shared" si="10"/>
        <v>38500</v>
      </c>
    </row>
    <row r="44" spans="1:9" ht="15.75" thickBot="1">
      <c r="A44" s="44" t="s">
        <v>48</v>
      </c>
      <c r="B44" s="44"/>
      <c r="C44" s="44"/>
      <c r="D44" s="44"/>
      <c r="E44" s="44"/>
      <c r="F44" s="19">
        <v>0</v>
      </c>
      <c r="G44" s="20">
        <v>0.4</v>
      </c>
      <c r="H44" s="26"/>
      <c r="I44" s="21">
        <f t="shared" si="10"/>
        <v>0</v>
      </c>
    </row>
    <row r="45" spans="1:9" ht="15.75" thickBot="1">
      <c r="A45"/>
      <c r="F45" s="19">
        <f>SUM(F40:F44)</f>
        <v>84314</v>
      </c>
      <c r="G45" s="27"/>
      <c r="H45" s="27"/>
      <c r="I45" s="22">
        <f>SUM(I40:I44)</f>
        <v>80564</v>
      </c>
    </row>
    <row r="46" spans="1:9">
      <c r="A46"/>
      <c r="G46" s="6"/>
    </row>
    <row r="47" spans="1:9">
      <c r="A47" t="s">
        <v>53</v>
      </c>
      <c r="G47" s="6"/>
    </row>
    <row r="48" spans="1:9">
      <c r="A48" t="s">
        <v>64</v>
      </c>
    </row>
    <row r="49" spans="1:1">
      <c r="A49" t="str">
        <f>'2011 analysis-6%'!A49</f>
        <v>Administrative expenses are based on DOT Fiscal note HB030-DOT-CO-2-11-11</v>
      </c>
    </row>
    <row r="50" spans="1:1">
      <c r="A50" t="str">
        <f>'2011 analysis-6%'!A50</f>
        <v>DMV expenses are based on DOA Fiscal note HB030-DOA-DMV-02-11-11</v>
      </c>
    </row>
  </sheetData>
  <mergeCells count="7">
    <mergeCell ref="A44:E44"/>
    <mergeCell ref="C6:J6"/>
    <mergeCell ref="K6:S6"/>
    <mergeCell ref="A40:E40"/>
    <mergeCell ref="A41:E41"/>
    <mergeCell ref="A42:E42"/>
    <mergeCell ref="A43:E43"/>
  </mergeCells>
  <pageMargins left="0.7" right="0.7" top="0.75" bottom="0.75" header="0.3" footer="0.3"/>
  <pageSetup scale="58" fitToHeight="0" orientation="landscape" r:id="rId1"/>
  <headerFooter>
    <oddHeader>&amp;C&amp;"-,Bold"&amp;18ATIF Payout Rate 5.25%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2011 analysis-6%</vt:lpstr>
      <vt:lpstr>4.5%</vt:lpstr>
      <vt:lpstr>4.75%</vt:lpstr>
      <vt:lpstr>5%</vt:lpstr>
      <vt:lpstr>5.25%</vt:lpstr>
      <vt:lpstr>'2011 analysis-6%'!Print_Area</vt:lpstr>
    </vt:vector>
  </TitlesOfParts>
  <Company>DOR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pjgreen</dc:creator>
  <cp:lastModifiedBy>Administrator</cp:lastModifiedBy>
  <cp:lastPrinted>2011-02-21T22:32:14Z</cp:lastPrinted>
  <dcterms:created xsi:type="dcterms:W3CDTF">2010-02-11T21:17:38Z</dcterms:created>
  <dcterms:modified xsi:type="dcterms:W3CDTF">2011-02-21T22:33:02Z</dcterms:modified>
</cp:coreProperties>
</file>